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1BD52144-4128-417E-AC72-49E17F49F47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AS Funcionario" sheetId="2" r:id="rId1"/>
    <sheet name="PAS Laboral" sheetId="3" r:id="rId2"/>
  </sheets>
  <definedNames>
    <definedName name="Consulta1" localSheetId="0">#REF!</definedName>
    <definedName name="Consulta1" localSheetId="1">#REF!</definedName>
    <definedName name="Consulta1">#REF!</definedName>
    <definedName name="KKK" localSheetId="0">#REF!</definedName>
    <definedName name="KKK" localSheetId="1">#REF!</definedName>
    <definedName name="KKK">#REF!</definedName>
    <definedName name="ñññññ" localSheetId="0">#REF!</definedName>
    <definedName name="ñññññ" localSheetId="1">#REF!</definedName>
    <definedName name="ñññññ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2" l="1"/>
  <c r="B87" i="2"/>
  <c r="C87" i="2"/>
  <c r="D87" i="2"/>
  <c r="E87" i="2"/>
  <c r="B86" i="2"/>
  <c r="C86" i="2"/>
  <c r="D86" i="2"/>
  <c r="E86" i="2"/>
  <c r="B85" i="2"/>
  <c r="C85" i="2"/>
  <c r="D85" i="2"/>
  <c r="E85" i="2"/>
  <c r="F87" i="2"/>
  <c r="F86" i="2"/>
  <c r="F85" i="2"/>
  <c r="B83" i="2"/>
  <c r="C83" i="2"/>
  <c r="D83" i="2"/>
  <c r="E83" i="2"/>
  <c r="F83" i="2"/>
  <c r="B81" i="2"/>
  <c r="C81" i="2"/>
  <c r="D81" i="2"/>
  <c r="E81" i="2"/>
  <c r="F81" i="2"/>
  <c r="B80" i="2"/>
  <c r="C80" i="2"/>
  <c r="D80" i="2"/>
  <c r="E80" i="2"/>
  <c r="F80" i="2"/>
  <c r="B78" i="2"/>
  <c r="C78" i="2"/>
  <c r="D78" i="2"/>
  <c r="E78" i="2"/>
  <c r="F78" i="2"/>
  <c r="F77" i="2"/>
  <c r="B76" i="2"/>
  <c r="C76" i="2"/>
  <c r="D76" i="2"/>
  <c r="E76" i="2"/>
  <c r="F76" i="2"/>
  <c r="B74" i="2"/>
  <c r="C74" i="2"/>
  <c r="D74" i="2"/>
  <c r="E74" i="2"/>
  <c r="B73" i="2"/>
  <c r="C73" i="2"/>
  <c r="D73" i="2"/>
  <c r="E73" i="2"/>
  <c r="F74" i="2"/>
  <c r="F73" i="2"/>
  <c r="B84" i="2"/>
  <c r="C84" i="2"/>
  <c r="D84" i="2"/>
  <c r="E84" i="2"/>
  <c r="F84" i="2"/>
  <c r="B82" i="2"/>
  <c r="C82" i="2"/>
  <c r="D82" i="2"/>
  <c r="E82" i="2"/>
  <c r="F82" i="2"/>
  <c r="B79" i="2"/>
  <c r="C79" i="2"/>
  <c r="D79" i="2"/>
  <c r="E79" i="2"/>
  <c r="F79" i="2"/>
  <c r="B77" i="2"/>
  <c r="C77" i="2"/>
  <c r="D77" i="2"/>
  <c r="E77" i="2"/>
  <c r="B75" i="2"/>
  <c r="C75" i="2"/>
  <c r="D75" i="2"/>
  <c r="E75" i="2"/>
  <c r="F75" i="2"/>
  <c r="B72" i="2"/>
  <c r="C72" i="2"/>
  <c r="D72" i="2"/>
  <c r="E72" i="2"/>
  <c r="F72" i="2"/>
  <c r="K81" i="3"/>
  <c r="C101" i="3"/>
  <c r="C99" i="3"/>
  <c r="C98" i="3"/>
  <c r="C97" i="3"/>
  <c r="E94" i="3"/>
  <c r="C94" i="3"/>
  <c r="B90" i="3"/>
  <c r="B89" i="3"/>
  <c r="B88" i="3"/>
  <c r="B87" i="3"/>
  <c r="I98" i="3"/>
  <c r="I97" i="3"/>
  <c r="I96" i="3"/>
  <c r="G82" i="3"/>
  <c r="G81" i="3"/>
  <c r="F81" i="3"/>
  <c r="G59" i="3"/>
  <c r="F59" i="3"/>
  <c r="G34" i="3"/>
  <c r="G33" i="3"/>
  <c r="I32" i="3"/>
  <c r="G32" i="3"/>
  <c r="F32" i="3"/>
  <c r="G18" i="3"/>
  <c r="I17" i="3"/>
  <c r="G17" i="3"/>
  <c r="F17" i="3"/>
  <c r="K62" i="3"/>
  <c r="K32" i="3"/>
  <c r="K17" i="3"/>
  <c r="G5" i="3"/>
  <c r="K4" i="3"/>
  <c r="I4" i="3"/>
  <c r="G4" i="3"/>
  <c r="F4" i="3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16" i="2"/>
  <c r="D16" i="2"/>
  <c r="H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K59" i="3"/>
  <c r="B4" i="3"/>
  <c r="H24" i="2"/>
  <c r="H93" i="3"/>
  <c r="H92" i="3"/>
  <c r="H91" i="3"/>
  <c r="C90" i="3"/>
  <c r="C89" i="3"/>
  <c r="C88" i="3"/>
  <c r="C87" i="3"/>
  <c r="F82" i="3"/>
  <c r="H4" i="3"/>
  <c r="D82" i="3"/>
  <c r="B82" i="3"/>
  <c r="C82" i="3"/>
  <c r="E83" i="3"/>
  <c r="I82" i="3"/>
  <c r="I83" i="3"/>
  <c r="G83" i="3"/>
  <c r="F83" i="3"/>
  <c r="C83" i="3"/>
  <c r="B83" i="3"/>
  <c r="I81" i="3"/>
  <c r="B81" i="3"/>
  <c r="C81" i="3"/>
  <c r="K80" i="3"/>
  <c r="F74" i="3"/>
  <c r="G74" i="3"/>
  <c r="I74" i="3"/>
  <c r="I75" i="3"/>
  <c r="G75" i="3"/>
  <c r="F75" i="3"/>
  <c r="B59" i="3"/>
  <c r="C59" i="3"/>
  <c r="C75" i="3"/>
  <c r="B75" i="3"/>
  <c r="C74" i="3"/>
  <c r="B74" i="3"/>
  <c r="I59" i="3"/>
  <c r="I73" i="3"/>
  <c r="G73" i="3"/>
  <c r="F73" i="3"/>
  <c r="C73" i="3"/>
  <c r="B73" i="3"/>
  <c r="F62" i="3"/>
  <c r="G62" i="3"/>
  <c r="I62" i="3"/>
  <c r="I72" i="3"/>
  <c r="G72" i="3"/>
  <c r="F72" i="3"/>
  <c r="C72" i="3"/>
  <c r="B72" i="3"/>
  <c r="I71" i="3"/>
  <c r="G71" i="3"/>
  <c r="F71" i="3"/>
  <c r="C71" i="3"/>
  <c r="B71" i="3"/>
  <c r="I70" i="3"/>
  <c r="G70" i="3"/>
  <c r="F70" i="3"/>
  <c r="C70" i="3"/>
  <c r="B70" i="3"/>
  <c r="G69" i="3"/>
  <c r="F69" i="3"/>
  <c r="C69" i="3"/>
  <c r="B69" i="3"/>
  <c r="G68" i="3"/>
  <c r="F68" i="3"/>
  <c r="C68" i="3"/>
  <c r="B68" i="3"/>
  <c r="I67" i="3"/>
  <c r="G67" i="3"/>
  <c r="F67" i="3"/>
  <c r="C67" i="3"/>
  <c r="B67" i="3"/>
  <c r="G66" i="3"/>
  <c r="F66" i="3"/>
  <c r="C66" i="3"/>
  <c r="B66" i="3"/>
  <c r="I65" i="3"/>
  <c r="G65" i="3"/>
  <c r="F65" i="3"/>
  <c r="C65" i="3"/>
  <c r="B65" i="3"/>
  <c r="G64" i="3"/>
  <c r="F64" i="3"/>
  <c r="C64" i="3"/>
  <c r="B64" i="3"/>
  <c r="G63" i="3"/>
  <c r="F63" i="3"/>
  <c r="C63" i="3"/>
  <c r="B63" i="3"/>
  <c r="C62" i="3"/>
  <c r="B62" i="3"/>
  <c r="K61" i="3"/>
  <c r="I61" i="3"/>
  <c r="G61" i="3"/>
  <c r="F61" i="3"/>
  <c r="C61" i="3"/>
  <c r="B61" i="3"/>
  <c r="I60" i="3"/>
  <c r="G60" i="3"/>
  <c r="F60" i="3"/>
  <c r="C60" i="3"/>
  <c r="B60" i="3"/>
  <c r="F43" i="3"/>
  <c r="G43" i="3"/>
  <c r="I43" i="3"/>
  <c r="I51" i="3"/>
  <c r="G55" i="3"/>
  <c r="F55" i="3"/>
  <c r="B38" i="3"/>
  <c r="C38" i="3"/>
  <c r="C55" i="3"/>
  <c r="B55" i="3"/>
  <c r="F54" i="3"/>
  <c r="G54" i="3"/>
  <c r="B53" i="3"/>
  <c r="C53" i="3"/>
  <c r="C54" i="3"/>
  <c r="B54" i="3"/>
  <c r="F36" i="3"/>
  <c r="G36" i="3"/>
  <c r="I36" i="3"/>
  <c r="I53" i="3"/>
  <c r="G53" i="3"/>
  <c r="F53" i="3"/>
  <c r="G52" i="3"/>
  <c r="F52" i="3"/>
  <c r="C52" i="3"/>
  <c r="B52" i="3"/>
  <c r="G51" i="3"/>
  <c r="F51" i="3"/>
  <c r="C51" i="3"/>
  <c r="B51" i="3"/>
  <c r="F41" i="3"/>
  <c r="G41" i="3"/>
  <c r="G50" i="3"/>
  <c r="F50" i="3"/>
  <c r="C50" i="3"/>
  <c r="B50" i="3"/>
  <c r="F49" i="3"/>
  <c r="G49" i="3"/>
  <c r="I49" i="3"/>
  <c r="C49" i="3"/>
  <c r="B49" i="3"/>
  <c r="G48" i="3"/>
  <c r="F48" i="3"/>
  <c r="C48" i="3"/>
  <c r="B48" i="3"/>
  <c r="G47" i="3"/>
  <c r="F47" i="3"/>
  <c r="C47" i="3"/>
  <c r="B47" i="3"/>
  <c r="G46" i="3"/>
  <c r="F46" i="3"/>
  <c r="C46" i="3"/>
  <c r="B46" i="3"/>
  <c r="G45" i="3"/>
  <c r="F45" i="3"/>
  <c r="C45" i="3"/>
  <c r="B45" i="3"/>
  <c r="G44" i="3"/>
  <c r="F44" i="3"/>
  <c r="C44" i="3"/>
  <c r="B44" i="3"/>
  <c r="C43" i="3"/>
  <c r="B43" i="3"/>
  <c r="G42" i="3"/>
  <c r="F42" i="3"/>
  <c r="C42" i="3"/>
  <c r="B42" i="3"/>
  <c r="D41" i="3"/>
  <c r="C41" i="3"/>
  <c r="B41" i="3"/>
  <c r="F39" i="3"/>
  <c r="G39" i="3"/>
  <c r="I39" i="3"/>
  <c r="I40" i="3"/>
  <c r="G40" i="3"/>
  <c r="F40" i="3"/>
  <c r="C40" i="3"/>
  <c r="B40" i="3"/>
  <c r="C39" i="3"/>
  <c r="B39" i="3"/>
  <c r="F38" i="3"/>
  <c r="G37" i="3"/>
  <c r="F37" i="3"/>
  <c r="B34" i="3"/>
  <c r="C34" i="3"/>
  <c r="C37" i="3"/>
  <c r="B37" i="3"/>
  <c r="C36" i="3"/>
  <c r="B36" i="3"/>
  <c r="F34" i="3"/>
  <c r="I34" i="3"/>
  <c r="I35" i="3"/>
  <c r="G35" i="3"/>
  <c r="F35" i="3"/>
  <c r="C35" i="3"/>
  <c r="B35" i="3"/>
  <c r="F33" i="3"/>
  <c r="I33" i="3"/>
  <c r="B33" i="3"/>
  <c r="C33" i="3"/>
  <c r="B32" i="3"/>
  <c r="C32" i="3"/>
  <c r="F28" i="3"/>
  <c r="G28" i="3"/>
  <c r="I19" i="3"/>
  <c r="I28" i="3"/>
  <c r="B17" i="3"/>
  <c r="C17" i="3"/>
  <c r="C28" i="3"/>
  <c r="B28" i="3"/>
  <c r="F19" i="3"/>
  <c r="G19" i="3"/>
  <c r="G27" i="3"/>
  <c r="F27" i="3"/>
  <c r="B18" i="3"/>
  <c r="C18" i="3"/>
  <c r="C27" i="3"/>
  <c r="B27" i="3"/>
  <c r="G26" i="3"/>
  <c r="F26" i="3"/>
  <c r="C26" i="3"/>
  <c r="B26" i="3"/>
  <c r="G25" i="3"/>
  <c r="F25" i="3"/>
  <c r="C25" i="3"/>
  <c r="B25" i="3"/>
  <c r="G24" i="3"/>
  <c r="F24" i="3"/>
  <c r="C24" i="3"/>
  <c r="B24" i="3"/>
  <c r="G23" i="3"/>
  <c r="F23" i="3"/>
  <c r="C23" i="3"/>
  <c r="B23" i="3"/>
  <c r="F22" i="3"/>
  <c r="G22" i="3"/>
  <c r="I22" i="3"/>
  <c r="C22" i="3"/>
  <c r="B22" i="3"/>
  <c r="G21" i="3"/>
  <c r="F21" i="3"/>
  <c r="C21" i="3"/>
  <c r="B21" i="3"/>
  <c r="G20" i="3"/>
  <c r="F20" i="3"/>
  <c r="C20" i="3"/>
  <c r="B20" i="3"/>
  <c r="C19" i="3"/>
  <c r="B19" i="3"/>
  <c r="F18" i="3"/>
  <c r="I18" i="3"/>
  <c r="I13" i="3"/>
  <c r="G13" i="3"/>
  <c r="F13" i="3"/>
  <c r="B13" i="3"/>
  <c r="C4" i="3"/>
  <c r="C13" i="3"/>
  <c r="F5" i="3"/>
  <c r="I5" i="3"/>
  <c r="I12" i="3"/>
  <c r="C5" i="3"/>
  <c r="G12" i="3"/>
  <c r="F12" i="3"/>
  <c r="B12" i="3"/>
  <c r="C12" i="3"/>
  <c r="I11" i="3"/>
  <c r="F11" i="3"/>
  <c r="B11" i="3"/>
  <c r="C11" i="3"/>
  <c r="I10" i="3"/>
  <c r="F10" i="3"/>
  <c r="B10" i="3"/>
  <c r="C10" i="3"/>
  <c r="I9" i="3"/>
  <c r="F9" i="3"/>
  <c r="B9" i="3"/>
  <c r="C9" i="3"/>
  <c r="I8" i="3"/>
  <c r="F8" i="3"/>
  <c r="B8" i="3"/>
  <c r="C8" i="3"/>
  <c r="I7" i="3"/>
  <c r="G7" i="3"/>
  <c r="F7" i="3"/>
  <c r="B7" i="3"/>
  <c r="C7" i="3"/>
  <c r="I6" i="3"/>
  <c r="G6" i="3"/>
  <c r="F6" i="3"/>
  <c r="B6" i="3"/>
  <c r="C6" i="3"/>
  <c r="B5" i="3"/>
  <c r="J40" i="2"/>
  <c r="J39" i="2"/>
  <c r="J38" i="2"/>
  <c r="J37" i="2"/>
  <c r="J36" i="2"/>
  <c r="J35" i="2"/>
  <c r="J34" i="2"/>
  <c r="J33" i="2"/>
  <c r="H26" i="2"/>
  <c r="H25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G8" i="3"/>
  <c r="D64" i="3"/>
  <c r="D8" i="3"/>
  <c r="D19" i="3"/>
  <c r="D26" i="3"/>
  <c r="D37" i="3"/>
  <c r="D48" i="3"/>
  <c r="D54" i="3"/>
  <c r="D65" i="3"/>
  <c r="D70" i="3"/>
  <c r="J4" i="3"/>
  <c r="D13" i="3"/>
  <c r="D24" i="3"/>
  <c r="D35" i="3"/>
  <c r="D34" i="3"/>
  <c r="E37" i="3"/>
  <c r="D40" i="3"/>
  <c r="D50" i="3"/>
  <c r="D38" i="3"/>
  <c r="E55" i="3"/>
  <c r="D72" i="3"/>
  <c r="I27" i="3"/>
  <c r="I37" i="3"/>
  <c r="I47" i="3"/>
  <c r="I50" i="3"/>
  <c r="I21" i="3"/>
  <c r="I23" i="3"/>
  <c r="I46" i="3"/>
  <c r="I38" i="3"/>
  <c r="I45" i="3"/>
  <c r="G9" i="3"/>
  <c r="G11" i="3"/>
  <c r="I68" i="3"/>
  <c r="I64" i="3"/>
  <c r="I63" i="3"/>
  <c r="D4" i="3"/>
  <c r="H62" i="3"/>
  <c r="J69" i="3"/>
  <c r="D75" i="3"/>
  <c r="E51" i="3"/>
  <c r="H28" i="3"/>
  <c r="J28" i="3"/>
  <c r="E40" i="3"/>
  <c r="H24" i="3"/>
  <c r="H81" i="3"/>
  <c r="J81" i="3"/>
  <c r="D32" i="3"/>
  <c r="D46" i="3"/>
  <c r="D62" i="3"/>
  <c r="D9" i="3"/>
  <c r="D25" i="3"/>
  <c r="D43" i="3"/>
  <c r="D69" i="3"/>
  <c r="H43" i="3"/>
  <c r="H54" i="3"/>
  <c r="E11" i="3"/>
  <c r="H45" i="3"/>
  <c r="H47" i="3"/>
  <c r="H73" i="3"/>
  <c r="E47" i="3"/>
  <c r="E32" i="3"/>
  <c r="H60" i="3"/>
  <c r="E5" i="3"/>
  <c r="H18" i="3"/>
  <c r="J18" i="3"/>
  <c r="H21" i="3"/>
  <c r="E36" i="3"/>
  <c r="H65" i="3"/>
  <c r="H72" i="3"/>
  <c r="H55" i="3"/>
  <c r="H82" i="3"/>
  <c r="H66" i="3"/>
  <c r="H38" i="3"/>
  <c r="J38" i="3"/>
  <c r="H25" i="3"/>
  <c r="H9" i="3"/>
  <c r="H50" i="3"/>
  <c r="H20" i="3"/>
  <c r="H35" i="3"/>
  <c r="H11" i="3"/>
  <c r="H48" i="3"/>
  <c r="H32" i="3"/>
  <c r="J32" i="3"/>
  <c r="H22" i="3"/>
  <c r="J22" i="3"/>
  <c r="E9" i="3"/>
  <c r="H40" i="3"/>
  <c r="H42" i="3"/>
  <c r="H61" i="3"/>
  <c r="E38" i="3"/>
  <c r="H26" i="3"/>
  <c r="H34" i="3"/>
  <c r="H12" i="3"/>
  <c r="H64" i="3"/>
  <c r="J66" i="3"/>
  <c r="J62" i="3"/>
  <c r="E46" i="3"/>
  <c r="E52" i="3"/>
  <c r="E39" i="3"/>
  <c r="E48" i="3"/>
  <c r="E44" i="3"/>
  <c r="E50" i="3"/>
  <c r="J55" i="3"/>
  <c r="E4" i="3"/>
  <c r="H13" i="3"/>
  <c r="H63" i="3"/>
  <c r="H23" i="3"/>
  <c r="H49" i="3"/>
  <c r="J49" i="3"/>
  <c r="H71" i="3"/>
  <c r="H19" i="3"/>
  <c r="J19" i="3"/>
  <c r="H51" i="3"/>
  <c r="H83" i="3"/>
  <c r="H75" i="3"/>
  <c r="H59" i="3"/>
  <c r="J61" i="3"/>
  <c r="E45" i="3"/>
  <c r="H6" i="3"/>
  <c r="H39" i="3"/>
  <c r="J39" i="3"/>
  <c r="H7" i="3"/>
  <c r="H67" i="3"/>
  <c r="H46" i="3"/>
  <c r="H33" i="3"/>
  <c r="J33" i="3"/>
  <c r="H52" i="3"/>
  <c r="H53" i="3"/>
  <c r="H74" i="3"/>
  <c r="E10" i="3"/>
  <c r="E43" i="3"/>
  <c r="J51" i="3"/>
  <c r="H10" i="3"/>
  <c r="H27" i="3"/>
  <c r="H44" i="3"/>
  <c r="H17" i="3"/>
  <c r="J17" i="3"/>
  <c r="H37" i="3"/>
  <c r="H8" i="3"/>
  <c r="H41" i="3"/>
  <c r="H5" i="3"/>
  <c r="J6" i="3"/>
  <c r="H70" i="3"/>
  <c r="H36" i="3"/>
  <c r="J53" i="3"/>
  <c r="H68" i="3"/>
  <c r="H69" i="3"/>
  <c r="E12" i="3"/>
  <c r="E49" i="3"/>
  <c r="E41" i="3"/>
  <c r="E6" i="3"/>
  <c r="E82" i="3"/>
  <c r="E7" i="3"/>
  <c r="E8" i="3"/>
  <c r="D73" i="3"/>
  <c r="D53" i="3"/>
  <c r="E54" i="3"/>
  <c r="D39" i="3"/>
  <c r="D17" i="3"/>
  <c r="E28" i="3"/>
  <c r="D12" i="3"/>
  <c r="D67" i="3"/>
  <c r="D51" i="3"/>
  <c r="D28" i="3"/>
  <c r="D11" i="3"/>
  <c r="D71" i="3"/>
  <c r="D10" i="3"/>
  <c r="E13" i="3"/>
  <c r="D20" i="3"/>
  <c r="D27" i="3"/>
  <c r="D47" i="3"/>
  <c r="D61" i="3"/>
  <c r="D66" i="3"/>
  <c r="D7" i="3"/>
  <c r="J13" i="3"/>
  <c r="D22" i="3"/>
  <c r="D18" i="3"/>
  <c r="E26" i="3"/>
  <c r="D49" i="3"/>
  <c r="D52" i="3"/>
  <c r="D59" i="3"/>
  <c r="E73" i="3"/>
  <c r="D81" i="3"/>
  <c r="E81" i="3"/>
  <c r="D83" i="3"/>
  <c r="I66" i="3"/>
  <c r="E65" i="3"/>
  <c r="I69" i="3"/>
  <c r="G10" i="3"/>
  <c r="I54" i="3"/>
  <c r="J54" i="3"/>
  <c r="D60" i="3"/>
  <c r="I44" i="3"/>
  <c r="D36" i="3"/>
  <c r="D21" i="3"/>
  <c r="D74" i="3"/>
  <c r="D55" i="3"/>
  <c r="D45" i="3"/>
  <c r="D23" i="3"/>
  <c r="D6" i="3"/>
  <c r="D5" i="3"/>
  <c r="D33" i="3"/>
  <c r="E33" i="3"/>
  <c r="D42" i="3"/>
  <c r="D44" i="3"/>
  <c r="D63" i="3"/>
  <c r="D68" i="3"/>
  <c r="J68" i="3"/>
  <c r="J63" i="3"/>
  <c r="J47" i="3"/>
  <c r="J52" i="3"/>
  <c r="E35" i="3"/>
  <c r="J72" i="3"/>
  <c r="E34" i="3"/>
  <c r="I41" i="3"/>
  <c r="I25" i="3"/>
  <c r="I52" i="3"/>
  <c r="I42" i="3"/>
  <c r="I24" i="3"/>
  <c r="I20" i="3"/>
  <c r="J64" i="3"/>
  <c r="J43" i="3"/>
  <c r="E42" i="3"/>
  <c r="I26" i="3"/>
  <c r="I48" i="3"/>
  <c r="E60" i="3"/>
  <c r="J26" i="3"/>
  <c r="E68" i="3"/>
  <c r="E53" i="3"/>
  <c r="J40" i="3"/>
  <c r="E25" i="3"/>
  <c r="E59" i="3"/>
  <c r="J45" i="3"/>
  <c r="J44" i="3"/>
  <c r="E67" i="3"/>
  <c r="J7" i="3"/>
  <c r="E17" i="3"/>
  <c r="E24" i="3"/>
  <c r="E22" i="3"/>
  <c r="E18" i="3"/>
  <c r="E27" i="3"/>
  <c r="E23" i="3"/>
  <c r="E20" i="3"/>
  <c r="E21" i="3"/>
  <c r="J75" i="3"/>
  <c r="J74" i="3"/>
  <c r="J35" i="3"/>
  <c r="J34" i="3"/>
  <c r="E72" i="3"/>
  <c r="E75" i="3"/>
  <c r="E74" i="3"/>
  <c r="E70" i="3"/>
  <c r="E63" i="3"/>
  <c r="E64" i="3"/>
  <c r="E69" i="3"/>
  <c r="E71" i="3"/>
  <c r="J8" i="3"/>
  <c r="J5" i="3"/>
  <c r="J10" i="3"/>
  <c r="J11" i="3"/>
  <c r="J12" i="3"/>
  <c r="J9" i="3"/>
  <c r="E66" i="3"/>
  <c r="E62" i="3"/>
  <c r="E61" i="3"/>
  <c r="E19" i="3"/>
  <c r="J37" i="3"/>
  <c r="J36" i="3"/>
  <c r="J67" i="3"/>
  <c r="J70" i="3"/>
  <c r="J59" i="3"/>
  <c r="J73" i="3"/>
  <c r="J71" i="3"/>
  <c r="J65" i="3"/>
  <c r="J60" i="3"/>
  <c r="J24" i="3"/>
  <c r="J21" i="3"/>
  <c r="J27" i="3"/>
  <c r="J20" i="3"/>
  <c r="J23" i="3"/>
  <c r="J25" i="3"/>
  <c r="J83" i="3"/>
  <c r="J82" i="3"/>
  <c r="J42" i="3"/>
  <c r="J50" i="3"/>
  <c r="J41" i="3"/>
  <c r="J48" i="3"/>
  <c r="J46" i="3"/>
</calcChain>
</file>

<file path=xl/sharedStrings.xml><?xml version="1.0" encoding="utf-8"?>
<sst xmlns="http://schemas.openxmlformats.org/spreadsheetml/2006/main" count="419" uniqueCount="275">
  <si>
    <t>GRUPO</t>
  </si>
  <si>
    <t>SUELDO MENSUAL</t>
  </si>
  <si>
    <t>TRIENIO MENSUAL</t>
  </si>
  <si>
    <t>PAGA EXTRAORDINARIA</t>
  </si>
  <si>
    <t>SUELDO</t>
  </si>
  <si>
    <t>TRIENIOS</t>
  </si>
  <si>
    <t>A1</t>
  </si>
  <si>
    <t>A2</t>
  </si>
  <si>
    <t>B</t>
  </si>
  <si>
    <t>C1</t>
  </si>
  <si>
    <t>C2</t>
  </si>
  <si>
    <t>E</t>
  </si>
  <si>
    <t>NIVEL</t>
  </si>
  <si>
    <t>C.D. MENSUAL</t>
  </si>
  <si>
    <t>C.D. ANUAL (x14)</t>
  </si>
  <si>
    <t>IMPORTE</t>
  </si>
  <si>
    <t>CEUTA Y MELILLA</t>
  </si>
  <si>
    <t>TIPO</t>
  </si>
  <si>
    <t>C.E. MENSUAL</t>
  </si>
  <si>
    <t>C.E. ANUAL (x14)</t>
  </si>
  <si>
    <t>P ADICIONAL</t>
  </si>
  <si>
    <t>g</t>
  </si>
  <si>
    <t>1a</t>
  </si>
  <si>
    <t>2a</t>
  </si>
  <si>
    <t>2b</t>
  </si>
  <si>
    <t>2c</t>
  </si>
  <si>
    <t>3a</t>
  </si>
  <si>
    <t>3b</t>
  </si>
  <si>
    <t>3c</t>
  </si>
  <si>
    <t>3d</t>
  </si>
  <si>
    <t>3e</t>
  </si>
  <si>
    <t>3f</t>
  </si>
  <si>
    <t>3g</t>
  </si>
  <si>
    <t>3h</t>
  </si>
  <si>
    <t>3i</t>
  </si>
  <si>
    <t>4a</t>
  </si>
  <si>
    <t>4b</t>
  </si>
  <si>
    <t>4b1</t>
  </si>
  <si>
    <t>4b2</t>
  </si>
  <si>
    <t>4c</t>
  </si>
  <si>
    <t>5a</t>
  </si>
  <si>
    <t>5b</t>
  </si>
  <si>
    <t>5c</t>
  </si>
  <si>
    <t>5d</t>
  </si>
  <si>
    <t>5e</t>
  </si>
  <si>
    <t>5f</t>
  </si>
  <si>
    <t>5g</t>
  </si>
  <si>
    <t>5h</t>
  </si>
  <si>
    <t>5i</t>
  </si>
  <si>
    <t>5j</t>
  </si>
  <si>
    <t>5k</t>
  </si>
  <si>
    <t>5l</t>
  </si>
  <si>
    <t>5m</t>
  </si>
  <si>
    <t>6a</t>
  </si>
  <si>
    <t>7a</t>
  </si>
  <si>
    <t>7b</t>
  </si>
  <si>
    <t>8a</t>
  </si>
  <si>
    <t>8b</t>
  </si>
  <si>
    <t>PASIVOS</t>
  </si>
  <si>
    <t>MUFACE</t>
  </si>
  <si>
    <t>Anual</t>
  </si>
  <si>
    <t>SE ABONARÁ LA PARTE DEVENGADA DE CADA UNO DE LOS TRAMOS (C1+C2+C3+C4+C5)</t>
  </si>
  <si>
    <t>MES ABONO</t>
  </si>
  <si>
    <t>PERIODO 
DEVENGO</t>
  </si>
  <si>
    <t>MAR-ABR-MAY
(92 días)</t>
  </si>
  <si>
    <t>JUN-JUL-AGO
(92 días)</t>
  </si>
  <si>
    <t>SEP-OCT
(61 días)</t>
  </si>
  <si>
    <t>NOV-DIC
(61 días)</t>
  </si>
  <si>
    <t>TOTAL</t>
  </si>
  <si>
    <t>NIVEL/DIAS</t>
  </si>
  <si>
    <t>2º TRAMO</t>
  </si>
  <si>
    <t>4º TRAMO</t>
  </si>
  <si>
    <t>Cargo</t>
  </si>
  <si>
    <t>Cuantía mensual</t>
  </si>
  <si>
    <t>Cuantía Paga adicional</t>
  </si>
  <si>
    <t>Rector de Universidad</t>
  </si>
  <si>
    <t>Vicerrector y Secretario General de Universidad</t>
  </si>
  <si>
    <t>Decano y Director de Facultad, Escuela Técnica Superior, Escuela Universitaria y Colegio Universitario</t>
  </si>
  <si>
    <t>Vicedecano, Subdirector y Secretario de Facultad, Escuela Técnica Superior, Escuela Universitaria y Colegio Universitario</t>
  </si>
  <si>
    <t>Director de Departamento Universitario</t>
  </si>
  <si>
    <t>Secretario de Departamento</t>
  </si>
  <si>
    <t>Director de Instituto Universitario y de Escuela de Estomatología</t>
  </si>
  <si>
    <t>Coordinador del Curso de Orientación Universitaria</t>
  </si>
  <si>
    <t>Subida por concepto:</t>
  </si>
  <si>
    <t>GRUPO PROFESIONAL - CATEGORIA</t>
  </si>
  <si>
    <t>C.CATEG.</t>
  </si>
  <si>
    <t>C.HOMOL.</t>
  </si>
  <si>
    <t>VESTUARIO</t>
  </si>
  <si>
    <t>TRIENIO</t>
  </si>
  <si>
    <t>%</t>
  </si>
  <si>
    <t>Grupo I</t>
  </si>
  <si>
    <t>MENSUAL</t>
  </si>
  <si>
    <t>ANUAL</t>
  </si>
  <si>
    <t>INC.</t>
  </si>
  <si>
    <t>T.S. Apoyo a la Docencia e Investigación</t>
  </si>
  <si>
    <t>T.S. Servicio Técnico de Obras, Equipamiento y Manten.</t>
  </si>
  <si>
    <t>T.S. de Prensa e Información</t>
  </si>
  <si>
    <t>T.S. Deportes</t>
  </si>
  <si>
    <t>Titulado Superior Informática (a extinguir)</t>
  </si>
  <si>
    <t>Profesor Instituto de Idiomas</t>
  </si>
  <si>
    <t>T.S. Administración (a extinguir)</t>
  </si>
  <si>
    <t>Titulado Superior</t>
  </si>
  <si>
    <t>T.S.Actividades Culturales</t>
  </si>
  <si>
    <t xml:space="preserve">T.S.Prevención </t>
  </si>
  <si>
    <t>Grupo II</t>
  </si>
  <si>
    <t xml:space="preserve">T.G.M. Apoyo a la Docencia e Investigación </t>
  </si>
  <si>
    <t>T.G.M. Escuelas Infantiles</t>
  </si>
  <si>
    <t>T.G.M. Actividades Culturales</t>
  </si>
  <si>
    <t>Trabajador Social</t>
  </si>
  <si>
    <t>T.G.M. Medios Audiovisuales</t>
  </si>
  <si>
    <t>T.G.M. Deportes</t>
  </si>
  <si>
    <t>T.G.M. de Prensa e Información</t>
  </si>
  <si>
    <t>T.G.M. S.T.O.E.M.</t>
  </si>
  <si>
    <t>Titulado Grado Medio Informática (a extinguir)</t>
  </si>
  <si>
    <t>Titulado Grado Medio Administración (a extinguir)</t>
  </si>
  <si>
    <t>Titulado Grado Medio</t>
  </si>
  <si>
    <t xml:space="preserve">T.G.M. Prevención </t>
  </si>
  <si>
    <t>Grupo III</t>
  </si>
  <si>
    <t>Encargado de Equipo</t>
  </si>
  <si>
    <t>Encargado de Equipo de Conserjería</t>
  </si>
  <si>
    <t>Téc. Especialista Serv. Técnico Obras, Equip. Y Manteni.</t>
  </si>
  <si>
    <t>Conductor Mecánico</t>
  </si>
  <si>
    <t xml:space="preserve">Técnico Especialista Laboratorio </t>
  </si>
  <si>
    <t>Técnico Especialista Artes Gráficas</t>
  </si>
  <si>
    <t>Técnico Especialista Reprografía y Publicaciones</t>
  </si>
  <si>
    <t>Técnico Especialista Hostelería</t>
  </si>
  <si>
    <t>Coordinador de Servicios de Conserjería</t>
  </si>
  <si>
    <t>Técnico Especialista Medios Audiovisuales</t>
  </si>
  <si>
    <t>Técnico Especialista Escuelas Infantiles</t>
  </si>
  <si>
    <t>Delineante</t>
  </si>
  <si>
    <t>Interprete / Informador</t>
  </si>
  <si>
    <t>Técnico Especialista Actividades Culturales</t>
  </si>
  <si>
    <t>Técnico Especialista Deportes</t>
  </si>
  <si>
    <t>Técnico Especialista de Prensa e Información</t>
  </si>
  <si>
    <t>Técnico Especialista de Almacén</t>
  </si>
  <si>
    <t>Técnico Especialista de Telecomunicaciones</t>
  </si>
  <si>
    <t>Técnico Especialista Biblioteca, Archivo y Museos</t>
  </si>
  <si>
    <t>Operador (a extinguir)</t>
  </si>
  <si>
    <t>Técnico Especialista Administración (a extinguir)</t>
  </si>
  <si>
    <t>Maestro de Taller (a extinguir)</t>
  </si>
  <si>
    <t xml:space="preserve">Técnico Especialista Prevención </t>
  </si>
  <si>
    <t xml:space="preserve">Técnico Especialista </t>
  </si>
  <si>
    <t>Grupo IV</t>
  </si>
  <si>
    <t>Técnico Auxiliar Servicio Técnico de Obras, Equip. y Manten.</t>
  </si>
  <si>
    <t>Técnico Auxiliar de Seguridad (a extinguir)</t>
  </si>
  <si>
    <t>Motorista</t>
  </si>
  <si>
    <t>Técnico Auxiliar de Laboratorio</t>
  </si>
  <si>
    <t>Modelo en Vivo</t>
  </si>
  <si>
    <t>Socorrista</t>
  </si>
  <si>
    <t>Técnico Auxiliar de Hostelería</t>
  </si>
  <si>
    <t>Técnico Auxililar de Reprografía y Publicaciones</t>
  </si>
  <si>
    <t>Técnico Auxiliar del Servicio de Conserjería</t>
  </si>
  <si>
    <t>Técnico Auxiliar Medios Audiovisuales</t>
  </si>
  <si>
    <t>Técnico Auxiliar Bibliotecas, Archivos y Museos</t>
  </si>
  <si>
    <t>Técnico Auxiliar Instalaciones Deportivas</t>
  </si>
  <si>
    <t>Técnico Auxiliar de Limpieza</t>
  </si>
  <si>
    <t>Técnico Auxiliar de Almacén</t>
  </si>
  <si>
    <t>Telefonista</t>
  </si>
  <si>
    <t>Técnico Auxiliar de Administración (a extinguir)</t>
  </si>
  <si>
    <t>Auxiliar de Grabación (a extinguir)</t>
  </si>
  <si>
    <t>Grupo V</t>
  </si>
  <si>
    <t>Ayudante Oficio Servicio Técnico de Obras, Equip. Y Manten.</t>
  </si>
  <si>
    <t>Ayudante Servicios de Limpieza</t>
  </si>
  <si>
    <t>Ayudante Servicio de Conserjería</t>
  </si>
  <si>
    <t>COMPLEMENTO DE DIRECCIÓN</t>
  </si>
  <si>
    <t>GRUPO/FUNCIÓN</t>
  </si>
  <si>
    <t>VALOR MENSUAL</t>
  </si>
  <si>
    <t>VALOR ANUAL</t>
  </si>
  <si>
    <t>*</t>
  </si>
  <si>
    <t>importe de los trienios que cumpla el personal del grupo IV desde 01/01/02</t>
  </si>
  <si>
    <t>T.Superior Director</t>
  </si>
  <si>
    <t>**</t>
  </si>
  <si>
    <t>importe de los trienios cumplidos por el personal del Grupo IV antes de 01/01/02</t>
  </si>
  <si>
    <t>T. Superior Subdirector</t>
  </si>
  <si>
    <t>T. G. Medio Director</t>
  </si>
  <si>
    <t>C. Homologación (0%)</t>
  </si>
  <si>
    <t>T. G. Medio Subdirector</t>
  </si>
  <si>
    <t>OTROS CONCEPTOS RETRIBUTIVOS</t>
  </si>
  <si>
    <t>VALOR</t>
  </si>
  <si>
    <t>%INCREMENTO</t>
  </si>
  <si>
    <t>IMPORTE HORA</t>
  </si>
  <si>
    <t>2º cuatrimestre</t>
  </si>
  <si>
    <r>
      <t>3</t>
    </r>
    <r>
      <rPr>
        <vertAlign val="superscript"/>
        <sz val="8.5"/>
        <rFont val="Arial"/>
        <family val="2"/>
      </rPr>
      <t>er</t>
    </r>
    <r>
      <rPr>
        <sz val="8.5"/>
        <rFont val="Arial"/>
        <family val="2"/>
      </rPr>
      <t xml:space="preserve"> cuatrimestre</t>
    </r>
  </si>
  <si>
    <t>Art.56.- Complemento de nocturnidad: (mensual)</t>
  </si>
  <si>
    <t>Art.57.- Complemento de residencia:</t>
  </si>
  <si>
    <t>ANEXO XV BOE 03/01/09</t>
  </si>
  <si>
    <t>Retribuciones INEF (0%)</t>
  </si>
  <si>
    <t>Art.58.- Complemento de trabajo en sábados, domingos y festivos:</t>
  </si>
  <si>
    <t>Sueldo</t>
  </si>
  <si>
    <t>-Sábados y domingos (sin vivienda)</t>
  </si>
  <si>
    <t>1 día libre y</t>
  </si>
  <si>
    <t>Trienio</t>
  </si>
  <si>
    <t>-ó sábados turno de mañana (sin vivienda)</t>
  </si>
  <si>
    <t>sin día libre y</t>
  </si>
  <si>
    <t>Plus Actividad</t>
  </si>
  <si>
    <t>-ó sábado/tarde o domingo cualquier turno (sin vivienda)</t>
  </si>
  <si>
    <t>Art.59 (Cpto.Personal) y Art.62.(Grat.Serv.Extraord.)</t>
  </si>
  <si>
    <t>Incremento 0,3%</t>
  </si>
  <si>
    <t>Hosteleria 30 (+0,3%)</t>
  </si>
  <si>
    <t>CATEGORÍA/DIAS</t>
  </si>
  <si>
    <t>Grupo 1</t>
  </si>
  <si>
    <t>TS APOYO DOCENCIA DIRECTOR SERVICIO</t>
  </si>
  <si>
    <t>TS APOYO DOCENCIA SUBDIRECTOR SERVICIO</t>
  </si>
  <si>
    <t>TITULADO SUPERIOR</t>
  </si>
  <si>
    <t>Grupo 2</t>
  </si>
  <si>
    <t>TGM APOYO DOCENCIA DIRECTOR SERVICIO</t>
  </si>
  <si>
    <t>TGM APOYO DOCENCIA SUBDIRECTOR SERVICIO</t>
  </si>
  <si>
    <t>TITULADO GRADO MEDIO</t>
  </si>
  <si>
    <t>TRABAJADOR SOCIAL</t>
  </si>
  <si>
    <t>TITULADO DE GRADO MEDIO</t>
  </si>
  <si>
    <t>ENCARGADO DE EQUIPO</t>
  </si>
  <si>
    <t>ENCARGADO DE EQUIPO DE CONSERJERIA</t>
  </si>
  <si>
    <t>Grupo 3</t>
  </si>
  <si>
    <t>DELINEANTE</t>
  </si>
  <si>
    <t>TÉCNICO ESPECIALISTA</t>
  </si>
  <si>
    <t>TEC. ESPEC. BIBLIOTECA, ARCHIVO Y MUSEO</t>
  </si>
  <si>
    <t>TEC. ESPEC. PREVENCIÓN DE RIESGOS LABORALES</t>
  </si>
  <si>
    <t>TEC. ESPEC. SERV. TEC. OBRAS, EQUIP. Y MANTENIMIENTO</t>
  </si>
  <si>
    <t>TECNICO ESPECIALISTA</t>
  </si>
  <si>
    <t>CONDUCTOR MECANICO</t>
  </si>
  <si>
    <t>INTERPRETE/INFORMADOR</t>
  </si>
  <si>
    <t xml:space="preserve">TODO EL PERSONAL NO INCLUIDO </t>
  </si>
  <si>
    <t>TEC. AUX. DE ADMINISTRACION ( A EXT.)</t>
  </si>
  <si>
    <t>TEC. AUX. SERV. TEC. OBRAS Y MANTENIMIENTO</t>
  </si>
  <si>
    <t>TEC. AUX. DEL SERVICIO DE CONSERJERIA</t>
  </si>
  <si>
    <t>INDEMNIZ. RESIDENCIA</t>
  </si>
  <si>
    <t>2d</t>
  </si>
  <si>
    <t>2e</t>
  </si>
  <si>
    <t>1/2 5º TRAMO</t>
  </si>
  <si>
    <t>Grupo 4</t>
  </si>
  <si>
    <t>TEC. AUX. DE ALMACEN</t>
  </si>
  <si>
    <t>TEC. AUX. DE HOSTELERIA</t>
  </si>
  <si>
    <t>TEC. AUX. DE INSTALAC. DEPORTIVAS</t>
  </si>
  <si>
    <t>TEC. AUX. DE LABORATORIO</t>
  </si>
  <si>
    <t>TEC. AU. DE LIMPIEZA</t>
  </si>
  <si>
    <t>TEC. ESPEC. DE PRENSA E INFORMACION</t>
  </si>
  <si>
    <t>TEC. ESPEC. DE MEDIOS AUDIOVISUALES</t>
  </si>
  <si>
    <t>TEC. ESPEC. DE LABORATORIO</t>
  </si>
  <si>
    <t>TEC. ESPEC. DE TELECOMUNICACIONES</t>
  </si>
  <si>
    <t>TEC. ESPEC. EN HOSTELERIA</t>
  </si>
  <si>
    <t>TEC. ESPEC. ACTIVIDADES CULTURALES</t>
  </si>
  <si>
    <t>TEC. ESPEC. DE ADMON. ( A EXT.)</t>
  </si>
  <si>
    <t>TEC. ESPEC. DE ALMACEN</t>
  </si>
  <si>
    <t>TGM DE APOYO A LA DOCENCIA E INVESTIGACIÓN</t>
  </si>
  <si>
    <t>TGM PREV. DE RIESGOS LABORALES</t>
  </si>
  <si>
    <t>TGM DE DEPORTES</t>
  </si>
  <si>
    <t>TS DE PRENSA E INFORMACIÓN</t>
  </si>
  <si>
    <t>TS DE DEPORTES</t>
  </si>
  <si>
    <t>TS DE ACTIVIDADES CULTURALES</t>
  </si>
  <si>
    <t>TS APOYO A LA DOCENCIA E INVESTIGACIÓN</t>
  </si>
  <si>
    <t>INDEMNI. RESIDENCIA</t>
  </si>
  <si>
    <t>4d</t>
  </si>
  <si>
    <t>4e</t>
  </si>
  <si>
    <t>4f</t>
  </si>
  <si>
    <t>COMPLEMENTO HOMOLOGACION 2024</t>
  </si>
  <si>
    <t>302,30***</t>
  </si>
  <si>
    <t>*** 604,57 para Técnicos Especialistas Conserjería/Medios Audiovisuales</t>
  </si>
  <si>
    <t>1er Tramo</t>
  </si>
  <si>
    <t>2º Tramo</t>
  </si>
  <si>
    <t>3º Tramo</t>
  </si>
  <si>
    <t>4º Tramo</t>
  </si>
  <si>
    <t>5º Tramo</t>
  </si>
  <si>
    <r>
      <t>1</t>
    </r>
    <r>
      <rPr>
        <vertAlign val="superscript"/>
        <sz val="10"/>
        <color theme="0"/>
        <rFont val="Arial"/>
        <family val="2"/>
      </rPr>
      <t>er</t>
    </r>
    <r>
      <rPr>
        <sz val="10"/>
        <color theme="0"/>
        <rFont val="Arial"/>
        <family val="2"/>
      </rPr>
      <t xml:space="preserve"> TRAMO</t>
    </r>
  </si>
  <si>
    <r>
      <t>3</t>
    </r>
    <r>
      <rPr>
        <vertAlign val="superscript"/>
        <sz val="10"/>
        <color theme="0"/>
        <rFont val="Arial"/>
        <family val="2"/>
      </rPr>
      <t>er</t>
    </r>
    <r>
      <rPr>
        <sz val="10"/>
        <color theme="0"/>
        <rFont val="Arial"/>
        <family val="2"/>
      </rPr>
      <t xml:space="preserve"> TRAMO</t>
    </r>
  </si>
  <si>
    <r>
      <t>3</t>
    </r>
    <r>
      <rPr>
        <b/>
        <vertAlign val="superscript"/>
        <sz val="8.5"/>
        <rFont val="Arial"/>
        <family val="2"/>
      </rPr>
      <t>er</t>
    </r>
    <r>
      <rPr>
        <b/>
        <sz val="8.5"/>
        <rFont val="Arial"/>
        <family val="2"/>
      </rPr>
      <t xml:space="preserve"> cuatrimestre</t>
    </r>
  </si>
  <si>
    <r>
      <t>1</t>
    </r>
    <r>
      <rPr>
        <b/>
        <vertAlign val="superscript"/>
        <sz val="8.5"/>
        <rFont val="Arial"/>
        <family val="2"/>
      </rPr>
      <t>er</t>
    </r>
    <r>
      <rPr>
        <b/>
        <sz val="8.5"/>
        <rFont val="Arial"/>
        <family val="2"/>
      </rPr>
      <t xml:space="preserve"> cuatrimestre</t>
    </r>
  </si>
  <si>
    <r>
      <t>1</t>
    </r>
    <r>
      <rPr>
        <vertAlign val="superscript"/>
        <sz val="8.5"/>
        <rFont val="Arial"/>
        <family val="2"/>
      </rPr>
      <t>er</t>
    </r>
    <r>
      <rPr>
        <sz val="8.5"/>
        <rFont val="Arial"/>
        <family val="2"/>
      </rPr>
      <t xml:space="preserve"> cuatrimestre</t>
    </r>
  </si>
  <si>
    <t>COMPLEMENTO PRODUCTIVIDAD 2025 PTGAS LABORAL</t>
  </si>
  <si>
    <t>Marzo 2025</t>
  </si>
  <si>
    <t>Julio 2025</t>
  </si>
  <si>
    <t>Octubre 2025</t>
  </si>
  <si>
    <t>Noviembre 2025</t>
  </si>
  <si>
    <t>Febrero 2026</t>
  </si>
  <si>
    <t>ENE-FEB
(59 días)</t>
  </si>
  <si>
    <t>COMPLEMENTO PRODUCTIVIDAD 2025 PTGAS FUNCIONARIO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</si>
</sst>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[$-C0A]mmmm\-yy;@"/>
    <numFmt numFmtId="165" formatCode="_-* #,##0\ _P_t_a_-;\-* #,##0\ _P_t_a_-;_-* &quot;-&quot;\ _P_t_a_-;_-@_-"/>
    <numFmt numFmtId="166" formatCode="_-* #,##0.00\ _P_t_a_-;\-* #,##0.00\ _P_t_a_-;_-* &quot;-&quot;\ _P_t_a_-;_-@_-"/>
    <numFmt numFmtId="167" formatCode="0.0%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sz val="11"/>
      <name val="Arial"/>
      <family val="2"/>
    </font>
    <font>
      <b/>
      <sz val="8.5"/>
      <color theme="1"/>
      <name val="Arial"/>
      <family val="2"/>
    </font>
    <font>
      <sz val="8.5"/>
      <color theme="1"/>
      <name val="Arial"/>
      <family val="2"/>
    </font>
    <font>
      <vertAlign val="superscript"/>
      <sz val="8.5"/>
      <name val="Arial"/>
      <family val="2"/>
    </font>
    <font>
      <sz val="8.5"/>
      <color theme="1"/>
      <name val="Calibri"/>
      <family val="2"/>
      <scheme val="minor"/>
    </font>
    <font>
      <b/>
      <sz val="8.5"/>
      <name val="Calibri"/>
      <family val="2"/>
      <scheme val="minor"/>
    </font>
    <font>
      <b/>
      <sz val="10"/>
      <name val="Garamond"/>
      <family val="1"/>
    </font>
    <font>
      <sz val="7"/>
      <name val="Garamond"/>
      <family val="1"/>
    </font>
    <font>
      <sz val="8.5"/>
      <name val="Calibri"/>
      <family val="2"/>
      <scheme val="minor"/>
    </font>
    <font>
      <sz val="10"/>
      <name val="Garamond"/>
      <family val="1"/>
    </font>
    <font>
      <b/>
      <sz val="8.5"/>
      <color theme="1"/>
      <name val="Calibri"/>
      <family val="2"/>
      <scheme val="minor"/>
    </font>
    <font>
      <b/>
      <sz val="10"/>
      <name val="Arial"/>
      <family val="2"/>
    </font>
    <font>
      <b/>
      <sz val="8.5"/>
      <color theme="0"/>
      <name val="Calibri"/>
      <family val="2"/>
      <scheme val="minor"/>
    </font>
    <font>
      <sz val="8.5"/>
      <color theme="0"/>
      <name val="Calibri"/>
      <family val="2"/>
      <scheme val="minor"/>
    </font>
    <font>
      <sz val="10"/>
      <color theme="0"/>
      <name val="Arial"/>
      <family val="2"/>
    </font>
    <font>
      <vertAlign val="superscript"/>
      <sz val="10"/>
      <color theme="0"/>
      <name val="Arial"/>
      <family val="2"/>
    </font>
    <font>
      <b/>
      <vertAlign val="superscript"/>
      <sz val="8.5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1" fillId="0" borderId="0" xfId="1" applyProtection="1">
      <protection hidden="1"/>
    </xf>
    <xf numFmtId="0" fontId="3" fillId="0" borderId="1" xfId="1" applyFont="1" applyBorder="1" applyAlignment="1" applyProtection="1">
      <alignment horizontal="center" vertical="center"/>
      <protection hidden="1"/>
    </xf>
    <xf numFmtId="4" fontId="4" fillId="0" borderId="1" xfId="1" applyNumberFormat="1" applyFont="1" applyBorder="1" applyAlignment="1" applyProtection="1">
      <alignment horizontal="right" vertical="center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4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0" borderId="1" xfId="0" applyFont="1" applyBorder="1" applyAlignment="1">
      <alignment horizontal="center"/>
    </xf>
    <xf numFmtId="4" fontId="1" fillId="0" borderId="0" xfId="1" applyNumberFormat="1"/>
    <xf numFmtId="0" fontId="7" fillId="0" borderId="0" xfId="0" applyFont="1"/>
    <xf numFmtId="0" fontId="6" fillId="0" borderId="0" xfId="0" applyFont="1"/>
    <xf numFmtId="0" fontId="3" fillId="0" borderId="1" xfId="1" applyFont="1" applyBorder="1" applyAlignment="1" applyProtection="1">
      <alignment horizontal="center"/>
      <protection hidden="1"/>
    </xf>
    <xf numFmtId="2" fontId="1" fillId="0" borderId="0" xfId="1" applyNumberFormat="1"/>
    <xf numFmtId="2" fontId="3" fillId="0" borderId="1" xfId="0" applyNumberFormat="1" applyFont="1" applyBorder="1" applyAlignment="1" applyProtection="1">
      <alignment horizontal="center"/>
      <protection hidden="1"/>
    </xf>
    <xf numFmtId="0" fontId="4" fillId="0" borderId="0" xfId="1" applyFont="1" applyProtection="1">
      <protection hidden="1"/>
    </xf>
    <xf numFmtId="0" fontId="4" fillId="0" borderId="1" xfId="0" applyFont="1" applyBorder="1" applyAlignment="1" applyProtection="1">
      <alignment horizontal="center"/>
      <protection hidden="1"/>
    </xf>
    <xf numFmtId="2" fontId="4" fillId="0" borderId="1" xfId="0" applyNumberFormat="1" applyFont="1" applyBorder="1" applyAlignment="1" applyProtection="1">
      <alignment horizontal="center"/>
      <protection hidden="1"/>
    </xf>
    <xf numFmtId="164" fontId="3" fillId="0" borderId="1" xfId="1" quotePrefix="1" applyNumberFormat="1" applyFont="1" applyBorder="1" applyProtection="1">
      <protection hidden="1"/>
    </xf>
    <xf numFmtId="0" fontId="3" fillId="0" borderId="1" xfId="1" applyFont="1" applyBorder="1" applyAlignment="1" applyProtection="1">
      <alignment horizontal="center" vertical="center" wrapText="1"/>
      <protection hidden="1"/>
    </xf>
    <xf numFmtId="4" fontId="1" fillId="0" borderId="0" xfId="1" applyNumberFormat="1" applyAlignment="1" applyProtection="1">
      <alignment horizontal="right" vertical="center"/>
      <protection hidden="1"/>
    </xf>
    <xf numFmtId="2" fontId="1" fillId="0" borderId="0" xfId="1" applyNumberFormat="1" applyProtection="1">
      <protection hidden="1"/>
    </xf>
    <xf numFmtId="0" fontId="4" fillId="0" borderId="1" xfId="1" applyFont="1" applyBorder="1" applyAlignment="1" applyProtection="1">
      <alignment horizontal="left" vertical="center"/>
      <protection hidden="1"/>
    </xf>
    <xf numFmtId="8" fontId="1" fillId="0" borderId="0" xfId="1" applyNumberFormat="1"/>
    <xf numFmtId="0" fontId="4" fillId="0" borderId="0" xfId="1" applyFont="1" applyAlignment="1" applyProtection="1">
      <alignment horizontal="right"/>
      <protection hidden="1"/>
    </xf>
    <xf numFmtId="10" fontId="4" fillId="0" borderId="0" xfId="1" quotePrefix="1" applyNumberFormat="1" applyFont="1" applyAlignment="1" applyProtection="1">
      <alignment horizontal="center"/>
      <protection hidden="1"/>
    </xf>
    <xf numFmtId="0" fontId="3" fillId="0" borderId="0" xfId="1" quotePrefix="1" applyFont="1" applyAlignment="1" applyProtection="1">
      <alignment horizontal="center"/>
      <protection hidden="1"/>
    </xf>
    <xf numFmtId="0" fontId="4" fillId="0" borderId="0" xfId="1" quotePrefix="1" applyFont="1" applyAlignment="1" applyProtection="1">
      <alignment horizontal="center"/>
      <protection hidden="1"/>
    </xf>
    <xf numFmtId="0" fontId="3" fillId="0" borderId="0" xfId="1" applyFont="1" applyAlignment="1" applyProtection="1">
      <alignment horizontal="left" vertical="top" wrapText="1"/>
      <protection hidden="1"/>
    </xf>
    <xf numFmtId="0" fontId="3" fillId="0" borderId="0" xfId="1" applyFont="1" applyAlignment="1" applyProtection="1">
      <alignment horizontal="center" vertical="top" wrapText="1"/>
      <protection hidden="1"/>
    </xf>
    <xf numFmtId="0" fontId="4" fillId="0" borderId="0" xfId="1" applyFont="1" applyAlignment="1" applyProtection="1">
      <alignment horizontal="left" wrapText="1"/>
      <protection hidden="1"/>
    </xf>
    <xf numFmtId="4" fontId="4" fillId="0" borderId="0" xfId="2" applyNumberFormat="1" applyFont="1" applyBorder="1" applyAlignment="1" applyProtection="1">
      <alignment horizontal="center"/>
      <protection hidden="1"/>
    </xf>
    <xf numFmtId="4" fontId="4" fillId="0" borderId="0" xfId="1" applyNumberFormat="1" applyFont="1" applyAlignment="1" applyProtection="1">
      <alignment horizontal="center" wrapText="1"/>
      <protection hidden="1"/>
    </xf>
    <xf numFmtId="4" fontId="3" fillId="0" borderId="0" xfId="2" applyNumberFormat="1" applyFont="1" applyFill="1" applyBorder="1" applyAlignment="1" applyProtection="1">
      <alignment horizontal="center"/>
      <protection hidden="1"/>
    </xf>
    <xf numFmtId="4" fontId="4" fillId="0" borderId="0" xfId="1" applyNumberFormat="1" applyFont="1" applyAlignment="1" applyProtection="1">
      <alignment horizontal="center"/>
      <protection hidden="1"/>
    </xf>
    <xf numFmtId="4" fontId="3" fillId="0" borderId="0" xfId="1" applyNumberFormat="1" applyFont="1" applyAlignment="1" applyProtection="1">
      <alignment horizontal="center" wrapText="1"/>
      <protection hidden="1"/>
    </xf>
    <xf numFmtId="4" fontId="1" fillId="0" borderId="0" xfId="1" applyNumberFormat="1" applyProtection="1">
      <protection hidden="1"/>
    </xf>
    <xf numFmtId="0" fontId="4" fillId="0" borderId="0" xfId="1" applyFont="1" applyAlignment="1" applyProtection="1">
      <alignment horizontal="center" wrapText="1"/>
      <protection hidden="1"/>
    </xf>
    <xf numFmtId="0" fontId="4" fillId="0" borderId="0" xfId="1" applyFont="1" applyAlignment="1" applyProtection="1">
      <alignment horizontal="center"/>
      <protection hidden="1"/>
    </xf>
    <xf numFmtId="166" fontId="3" fillId="0" borderId="0" xfId="2" applyNumberFormat="1" applyFont="1" applyFill="1" applyBorder="1" applyAlignment="1" applyProtection="1">
      <alignment horizontal="center"/>
      <protection hidden="1"/>
    </xf>
    <xf numFmtId="166" fontId="4" fillId="0" borderId="0" xfId="2" applyNumberFormat="1" applyFont="1" applyBorder="1" applyAlignment="1" applyProtection="1">
      <protection hidden="1"/>
    </xf>
    <xf numFmtId="0" fontId="3" fillId="0" borderId="0" xfId="1" applyFont="1" applyAlignment="1" applyProtection="1">
      <alignment horizontal="center" wrapText="1"/>
      <protection hidden="1"/>
    </xf>
    <xf numFmtId="0" fontId="3" fillId="0" borderId="0" xfId="1" applyFont="1" applyAlignment="1" applyProtection="1">
      <alignment horizontal="left" wrapText="1"/>
      <protection hidden="1"/>
    </xf>
    <xf numFmtId="0" fontId="3" fillId="0" borderId="0" xfId="1" applyFont="1" applyAlignment="1" applyProtection="1">
      <alignment horizontal="center"/>
      <protection hidden="1"/>
    </xf>
    <xf numFmtId="166" fontId="4" fillId="0" borderId="0" xfId="2" applyNumberFormat="1" applyFont="1" applyFill="1" applyBorder="1" applyAlignment="1" applyProtection="1">
      <protection hidden="1"/>
    </xf>
    <xf numFmtId="0" fontId="4" fillId="0" borderId="0" xfId="1" applyFont="1" applyAlignment="1" applyProtection="1">
      <alignment horizontal="left" shrinkToFit="1"/>
      <protection hidden="1"/>
    </xf>
    <xf numFmtId="0" fontId="4" fillId="0" borderId="0" xfId="1" applyFont="1" applyAlignment="1" applyProtection="1">
      <alignment horizontal="left"/>
      <protection hidden="1"/>
    </xf>
    <xf numFmtId="166" fontId="4" fillId="0" borderId="0" xfId="2" applyNumberFormat="1" applyFont="1" applyBorder="1" applyProtection="1">
      <protection hidden="1"/>
    </xf>
    <xf numFmtId="0" fontId="3" fillId="0" borderId="7" xfId="1" applyFont="1" applyBorder="1" applyAlignment="1" applyProtection="1">
      <alignment horizontal="left"/>
      <protection hidden="1"/>
    </xf>
    <xf numFmtId="10" fontId="4" fillId="0" borderId="8" xfId="1" quotePrefix="1" applyNumberFormat="1" applyFont="1" applyBorder="1" applyAlignment="1" applyProtection="1">
      <alignment horizontal="center"/>
      <protection hidden="1"/>
    </xf>
    <xf numFmtId="0" fontId="4" fillId="0" borderId="9" xfId="1" applyFont="1" applyBorder="1" applyAlignment="1" applyProtection="1">
      <alignment horizontal="center"/>
      <protection hidden="1"/>
    </xf>
    <xf numFmtId="0" fontId="3" fillId="0" borderId="10" xfId="1" applyFont="1" applyBorder="1" applyAlignment="1" applyProtection="1">
      <alignment horizontal="left" vertical="top" wrapText="1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166" fontId="3" fillId="0" borderId="7" xfId="2" applyNumberFormat="1" applyFont="1" applyFill="1" applyBorder="1" applyAlignment="1" applyProtection="1">
      <alignment horizontal="center"/>
      <protection hidden="1"/>
    </xf>
    <xf numFmtId="0" fontId="4" fillId="0" borderId="8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0" fontId="4" fillId="0" borderId="10" xfId="1" applyFont="1" applyBorder="1" applyAlignment="1" applyProtection="1">
      <alignment horizontal="left"/>
      <protection hidden="1"/>
    </xf>
    <xf numFmtId="4" fontId="4" fillId="0" borderId="11" xfId="2" applyNumberFormat="1" applyFont="1" applyBorder="1" applyAlignment="1" applyProtection="1">
      <alignment horizontal="center" vertical="center"/>
      <protection hidden="1"/>
    </xf>
    <xf numFmtId="2" fontId="4" fillId="0" borderId="0" xfId="1" applyNumberFormat="1" applyFont="1" applyAlignment="1" applyProtection="1">
      <alignment horizontal="center"/>
      <protection hidden="1"/>
    </xf>
    <xf numFmtId="166" fontId="3" fillId="0" borderId="12" xfId="2" applyNumberFormat="1" applyFont="1" applyFill="1" applyBorder="1" applyAlignment="1" applyProtection="1">
      <alignment horizontal="center"/>
      <protection hidden="1"/>
    </xf>
    <xf numFmtId="0" fontId="4" fillId="0" borderId="13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10" xfId="1" applyFont="1" applyBorder="1" applyAlignment="1" applyProtection="1">
      <alignment horizontal="left" vertical="top" wrapText="1"/>
      <protection hidden="1"/>
    </xf>
    <xf numFmtId="166" fontId="3" fillId="0" borderId="15" xfId="2" applyNumberFormat="1" applyFont="1" applyBorder="1" applyProtection="1">
      <protection hidden="1"/>
    </xf>
    <xf numFmtId="0" fontId="4" fillId="0" borderId="16" xfId="1" applyFont="1" applyBorder="1" applyAlignment="1" applyProtection="1">
      <alignment horizontal="center"/>
      <protection hidden="1"/>
    </xf>
    <xf numFmtId="0" fontId="4" fillId="0" borderId="12" xfId="1" applyFont="1" applyBorder="1" applyAlignment="1" applyProtection="1">
      <alignment horizontal="left" vertical="top" wrapText="1"/>
      <protection hidden="1"/>
    </xf>
    <xf numFmtId="4" fontId="4" fillId="0" borderId="14" xfId="2" applyNumberFormat="1" applyFont="1" applyBorder="1" applyAlignment="1" applyProtection="1">
      <alignment horizontal="center" vertical="center"/>
      <protection hidden="1"/>
    </xf>
    <xf numFmtId="166" fontId="4" fillId="0" borderId="17" xfId="2" applyNumberFormat="1" applyFont="1" applyBorder="1" applyProtection="1">
      <protection hidden="1"/>
    </xf>
    <xf numFmtId="0" fontId="4" fillId="0" borderId="8" xfId="1" applyFont="1" applyBorder="1" applyAlignment="1" applyProtection="1">
      <alignment horizontal="center"/>
      <protection hidden="1"/>
    </xf>
    <xf numFmtId="0" fontId="3" fillId="0" borderId="8" xfId="1" applyFont="1" applyBorder="1" applyAlignment="1" applyProtection="1">
      <alignment horizontal="center"/>
      <protection hidden="1"/>
    </xf>
    <xf numFmtId="166" fontId="4" fillId="0" borderId="9" xfId="2" applyNumberFormat="1" applyFont="1" applyFill="1" applyBorder="1" applyAlignment="1" applyProtection="1">
      <alignment horizontal="center"/>
      <protection hidden="1"/>
    </xf>
    <xf numFmtId="0" fontId="3" fillId="0" borderId="10" xfId="1" applyFont="1" applyBorder="1" applyAlignment="1" applyProtection="1">
      <alignment horizontal="left"/>
      <protection hidden="1"/>
    </xf>
    <xf numFmtId="166" fontId="3" fillId="0" borderId="11" xfId="2" applyNumberFormat="1" applyFont="1" applyFill="1" applyBorder="1" applyAlignment="1" applyProtection="1">
      <alignment horizontal="center"/>
      <protection hidden="1"/>
    </xf>
    <xf numFmtId="166" fontId="4" fillId="0" borderId="19" xfId="2" applyNumberFormat="1" applyFont="1" applyBorder="1" applyProtection="1">
      <protection hidden="1"/>
    </xf>
    <xf numFmtId="166" fontId="3" fillId="0" borderId="0" xfId="2" applyNumberFormat="1" applyFont="1" applyBorder="1" applyProtection="1">
      <protection hidden="1"/>
    </xf>
    <xf numFmtId="167" fontId="4" fillId="0" borderId="0" xfId="1" applyNumberFormat="1" applyFont="1" applyAlignment="1" applyProtection="1">
      <alignment horizontal="center"/>
      <protection hidden="1"/>
    </xf>
    <xf numFmtId="0" fontId="4" fillId="0" borderId="10" xfId="1" quotePrefix="1" applyFont="1" applyBorder="1" applyAlignment="1" applyProtection="1">
      <alignment horizontal="left"/>
      <protection hidden="1"/>
    </xf>
    <xf numFmtId="167" fontId="4" fillId="0" borderId="0" xfId="1" quotePrefix="1" applyNumberFormat="1" applyFont="1" applyAlignment="1" applyProtection="1">
      <alignment horizontal="center"/>
      <protection hidden="1"/>
    </xf>
    <xf numFmtId="0" fontId="4" fillId="0" borderId="21" xfId="1" applyFont="1" applyBorder="1" applyAlignment="1" applyProtection="1">
      <alignment horizontal="center"/>
      <protection hidden="1"/>
    </xf>
    <xf numFmtId="0" fontId="4" fillId="0" borderId="5" xfId="1" applyFont="1" applyBorder="1" applyAlignment="1" applyProtection="1">
      <alignment horizontal="center"/>
      <protection hidden="1"/>
    </xf>
    <xf numFmtId="0" fontId="3" fillId="0" borderId="5" xfId="1" applyFont="1" applyBorder="1" applyAlignment="1" applyProtection="1">
      <alignment horizontal="center"/>
      <protection hidden="1"/>
    </xf>
    <xf numFmtId="0" fontId="4" fillId="0" borderId="6" xfId="1" applyFont="1" applyBorder="1" applyProtection="1">
      <protection hidden="1"/>
    </xf>
    <xf numFmtId="166" fontId="4" fillId="0" borderId="12" xfId="2" applyNumberFormat="1" applyFont="1" applyBorder="1" applyProtection="1">
      <protection hidden="1"/>
    </xf>
    <xf numFmtId="0" fontId="4" fillId="0" borderId="13" xfId="1" applyFont="1" applyBorder="1" applyAlignment="1" applyProtection="1">
      <alignment horizontal="center"/>
      <protection hidden="1"/>
    </xf>
    <xf numFmtId="166" fontId="3" fillId="0" borderId="14" xfId="2" applyNumberFormat="1" applyFont="1" applyFill="1" applyBorder="1" applyAlignment="1" applyProtection="1">
      <alignment horizontal="center"/>
      <protection hidden="1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left"/>
    </xf>
    <xf numFmtId="0" fontId="9" fillId="0" borderId="0" xfId="0" applyFont="1" applyProtection="1">
      <protection hidden="1"/>
    </xf>
    <xf numFmtId="0" fontId="11" fillId="0" borderId="0" xfId="1" applyFont="1" applyAlignment="1">
      <alignment horizontal="center"/>
    </xf>
    <xf numFmtId="0" fontId="12" fillId="0" borderId="0" xfId="1" applyFont="1"/>
    <xf numFmtId="0" fontId="12" fillId="0" borderId="0" xfId="1" applyFont="1" applyAlignment="1">
      <alignment horizontal="center"/>
    </xf>
    <xf numFmtId="0" fontId="10" fillId="0" borderId="1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 applyProtection="1">
      <alignment horizontal="left" vertical="center"/>
      <protection hidden="1"/>
    </xf>
    <xf numFmtId="0" fontId="14" fillId="0" borderId="0" xfId="1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166" fontId="14" fillId="0" borderId="0" xfId="2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/>
    <xf numFmtId="166" fontId="11" fillId="0" borderId="0" xfId="2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17" fontId="10" fillId="0" borderId="1" xfId="1" quotePrefix="1" applyNumberFormat="1" applyFont="1" applyBorder="1" applyAlignment="1" applyProtection="1">
      <alignment horizontal="center" vertical="center"/>
      <protection hidden="1"/>
    </xf>
    <xf numFmtId="4" fontId="4" fillId="0" borderId="0" xfId="2" applyNumberFormat="1" applyFont="1" applyBorder="1" applyAlignment="1" applyProtection="1">
      <protection hidden="1"/>
    </xf>
    <xf numFmtId="17" fontId="3" fillId="0" borderId="1" xfId="1" quotePrefix="1" applyNumberFormat="1" applyFont="1" applyBorder="1" applyAlignment="1" applyProtection="1">
      <alignment horizontal="center" vertical="center"/>
      <protection hidden="1"/>
    </xf>
    <xf numFmtId="0" fontId="1" fillId="0" borderId="0" xfId="1" applyAlignment="1">
      <alignment horizontal="right" vertical="center"/>
    </xf>
    <xf numFmtId="4" fontId="16" fillId="0" borderId="0" xfId="1" applyNumberFormat="1" applyFont="1"/>
    <xf numFmtId="166" fontId="4" fillId="0" borderId="4" xfId="2" applyNumberFormat="1" applyFont="1" applyBorder="1" applyProtection="1">
      <protection hidden="1"/>
    </xf>
    <xf numFmtId="4" fontId="4" fillId="0" borderId="1" xfId="1" applyNumberFormat="1" applyFont="1" applyBorder="1" applyProtection="1">
      <protection hidden="1"/>
    </xf>
    <xf numFmtId="0" fontId="4" fillId="0" borderId="0" xfId="0" applyFont="1"/>
    <xf numFmtId="0" fontId="4" fillId="0" borderId="4" xfId="1" applyFont="1" applyBorder="1" applyAlignment="1" applyProtection="1">
      <alignment horizontal="left" vertical="center"/>
      <protection hidden="1"/>
    </xf>
    <xf numFmtId="0" fontId="4" fillId="0" borderId="6" xfId="1" applyFont="1" applyBorder="1" applyAlignment="1" applyProtection="1">
      <alignment horizontal="left" vertical="center"/>
      <protection hidden="1"/>
    </xf>
    <xf numFmtId="2" fontId="4" fillId="0" borderId="0" xfId="2" applyNumberFormat="1" applyFont="1" applyBorder="1" applyAlignment="1" applyProtection="1">
      <alignment horizontal="right"/>
      <protection hidden="1"/>
    </xf>
    <xf numFmtId="4" fontId="13" fillId="0" borderId="0" xfId="1" applyNumberFormat="1" applyFont="1"/>
    <xf numFmtId="4" fontId="4" fillId="0" borderId="1" xfId="1" applyNumberFormat="1" applyFont="1" applyBorder="1"/>
    <xf numFmtId="4" fontId="4" fillId="0" borderId="3" xfId="0" applyNumberFormat="1" applyFont="1" applyBorder="1"/>
    <xf numFmtId="4" fontId="4" fillId="0" borderId="0" xfId="2" applyNumberFormat="1" applyFont="1" applyFill="1" applyBorder="1" applyAlignment="1" applyProtection="1">
      <alignment horizontal="center"/>
      <protection hidden="1"/>
    </xf>
    <xf numFmtId="2" fontId="4" fillId="0" borderId="0" xfId="1" applyNumberFormat="1" applyFont="1" applyProtection="1">
      <protection hidden="1"/>
    </xf>
    <xf numFmtId="2" fontId="4" fillId="0" borderId="0" xfId="2" applyNumberFormat="1" applyFont="1" applyBorder="1" applyAlignment="1" applyProtection="1">
      <protection hidden="1"/>
    </xf>
    <xf numFmtId="4" fontId="4" fillId="0" borderId="0" xfId="2" applyNumberFormat="1" applyFont="1" applyBorder="1" applyAlignment="1" applyProtection="1">
      <alignment horizontal="right"/>
      <protection hidden="1"/>
    </xf>
    <xf numFmtId="2" fontId="4" fillId="0" borderId="0" xfId="2" applyNumberFormat="1" applyFont="1" applyBorder="1" applyAlignment="1" applyProtection="1">
      <alignment horizontal="center" vertical="center"/>
      <protection hidden="1"/>
    </xf>
    <xf numFmtId="2" fontId="4" fillId="0" borderId="13" xfId="2" applyNumberFormat="1" applyFont="1" applyBorder="1" applyAlignment="1" applyProtection="1">
      <alignment horizontal="center" vertical="center"/>
      <protection hidden="1"/>
    </xf>
    <xf numFmtId="2" fontId="4" fillId="0" borderId="0" xfId="1" applyNumberFormat="1" applyFont="1" applyAlignment="1" applyProtection="1">
      <alignment horizontal="center" vertical="top" wrapText="1"/>
      <protection hidden="1"/>
    </xf>
    <xf numFmtId="2" fontId="4" fillId="0" borderId="11" xfId="2" applyNumberFormat="1" applyFont="1" applyFill="1" applyBorder="1" applyAlignment="1" applyProtection="1">
      <alignment horizontal="center"/>
      <protection hidden="1"/>
    </xf>
    <xf numFmtId="4" fontId="4" fillId="0" borderId="13" xfId="1" applyNumberFormat="1" applyFont="1" applyBorder="1" applyAlignment="1" applyProtection="1">
      <alignment horizontal="center"/>
      <protection hidden="1"/>
    </xf>
    <xf numFmtId="4" fontId="4" fillId="0" borderId="18" xfId="1" applyNumberFormat="1" applyFont="1" applyBorder="1" applyAlignment="1" applyProtection="1">
      <alignment horizontal="center"/>
      <protection hidden="1"/>
    </xf>
    <xf numFmtId="4" fontId="13" fillId="0" borderId="1" xfId="0" applyNumberFormat="1" applyFont="1" applyBorder="1"/>
    <xf numFmtId="4" fontId="4" fillId="0" borderId="22" xfId="1" applyNumberFormat="1" applyFont="1" applyBorder="1" applyAlignment="1" applyProtection="1">
      <alignment horizontal="center"/>
      <protection hidden="1"/>
    </xf>
    <xf numFmtId="4" fontId="13" fillId="0" borderId="1" xfId="1" applyNumberFormat="1" applyFont="1" applyBorder="1" applyAlignment="1" applyProtection="1">
      <alignment horizontal="right" vertical="center"/>
      <protection hidden="1"/>
    </xf>
    <xf numFmtId="4" fontId="13" fillId="0" borderId="1" xfId="0" applyNumberFormat="1" applyFont="1" applyBorder="1" applyProtection="1">
      <protection hidden="1"/>
    </xf>
    <xf numFmtId="4" fontId="13" fillId="0" borderId="1" xfId="1" applyNumberFormat="1" applyFont="1" applyBorder="1" applyAlignment="1">
      <alignment horizontal="right" vertical="center"/>
    </xf>
    <xf numFmtId="0" fontId="17" fillId="0" borderId="0" xfId="1" applyFont="1" applyAlignment="1" applyProtection="1">
      <alignment horizontal="center" vertical="center"/>
      <protection hidden="1"/>
    </xf>
    <xf numFmtId="4" fontId="18" fillId="0" borderId="0" xfId="1" applyNumberFormat="1" applyFont="1" applyAlignment="1">
      <alignment horizontal="right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 wrapText="1"/>
    </xf>
    <xf numFmtId="4" fontId="19" fillId="0" borderId="0" xfId="1" applyNumberFormat="1" applyFont="1"/>
    <xf numFmtId="4" fontId="19" fillId="0" borderId="0" xfId="1" applyNumberFormat="1" applyFont="1" applyAlignment="1">
      <alignment horizontal="right" vertical="center"/>
    </xf>
    <xf numFmtId="0" fontId="3" fillId="0" borderId="4" xfId="1" applyFont="1" applyBorder="1" applyAlignment="1" applyProtection="1">
      <alignment horizontal="center" vertical="center"/>
      <protection hidden="1"/>
    </xf>
    <xf numFmtId="0" fontId="3" fillId="0" borderId="5" xfId="1" applyFont="1" applyBorder="1" applyAlignment="1" applyProtection="1">
      <alignment horizontal="center" vertical="center"/>
      <protection hidden="1"/>
    </xf>
    <xf numFmtId="0" fontId="3" fillId="0" borderId="6" xfId="1" applyFont="1" applyBorder="1" applyAlignment="1" applyProtection="1">
      <alignment horizontal="center" vertical="center"/>
      <protection hidden="1"/>
    </xf>
    <xf numFmtId="0" fontId="3" fillId="0" borderId="4" xfId="1" applyFont="1" applyBorder="1" applyAlignment="1" applyProtection="1">
      <alignment horizontal="center"/>
      <protection hidden="1"/>
    </xf>
    <xf numFmtId="0" fontId="3" fillId="0" borderId="5" xfId="1" applyFont="1" applyBorder="1" applyAlignment="1" applyProtection="1">
      <alignment horizontal="center"/>
      <protection hidden="1"/>
    </xf>
    <xf numFmtId="0" fontId="3" fillId="0" borderId="6" xfId="1" applyFont="1" applyBorder="1" applyAlignment="1" applyProtection="1">
      <alignment horizontal="center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4" fillId="0" borderId="4" xfId="1" applyFont="1" applyBorder="1" applyAlignment="1" applyProtection="1">
      <alignment horizontal="left" vertical="center"/>
      <protection hidden="1"/>
    </xf>
    <xf numFmtId="0" fontId="4" fillId="0" borderId="6" xfId="1" applyFont="1" applyBorder="1" applyAlignment="1" applyProtection="1">
      <alignment horizontal="left" vertical="center"/>
      <protection hidden="1"/>
    </xf>
    <xf numFmtId="0" fontId="3" fillId="0" borderId="1" xfId="1" applyFont="1" applyBorder="1" applyAlignment="1" applyProtection="1">
      <alignment horizontal="center" vertical="center"/>
      <protection hidden="1"/>
    </xf>
    <xf numFmtId="0" fontId="9" fillId="0" borderId="23" xfId="0" applyFont="1" applyBorder="1" applyAlignment="1" applyProtection="1">
      <alignment horizontal="center" vertical="center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center" vertical="center"/>
      <protection hidden="1"/>
    </xf>
    <xf numFmtId="166" fontId="3" fillId="0" borderId="15" xfId="2" applyNumberFormat="1" applyFont="1" applyBorder="1" applyAlignment="1" applyProtection="1">
      <alignment horizontal="center"/>
      <protection hidden="1"/>
    </xf>
    <xf numFmtId="166" fontId="4" fillId="0" borderId="20" xfId="2" applyNumberFormat="1" applyFont="1" applyBorder="1" applyAlignment="1" applyProtection="1">
      <alignment horizontal="center"/>
      <protection hidden="1"/>
    </xf>
    <xf numFmtId="166" fontId="4" fillId="0" borderId="16" xfId="2" applyNumberFormat="1" applyFont="1" applyBorder="1" applyAlignment="1" applyProtection="1">
      <alignment horizontal="center"/>
      <protection hidden="1"/>
    </xf>
    <xf numFmtId="0" fontId="3" fillId="0" borderId="0" xfId="1" applyFont="1" applyAlignment="1" applyProtection="1">
      <alignment horizontal="center"/>
      <protection hidden="1"/>
    </xf>
    <xf numFmtId="0" fontId="3" fillId="0" borderId="26" xfId="1" applyFont="1" applyBorder="1" applyAlignment="1">
      <alignment horizontal="center"/>
    </xf>
  </cellXfs>
  <cellStyles count="3">
    <cellStyle name="Millares [0]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1"/>
  <sheetViews>
    <sheetView topLeftCell="A52" zoomScale="110" zoomScaleNormal="110" workbookViewId="0">
      <selection activeCell="C74" sqref="C74"/>
    </sheetView>
  </sheetViews>
  <sheetFormatPr baseColWidth="10" defaultColWidth="11.42578125" defaultRowHeight="12.75" x14ac:dyDescent="0.2"/>
  <cols>
    <col min="1" max="1" width="10.140625" style="1" customWidth="1"/>
    <col min="2" max="2" width="16.140625" style="1" customWidth="1"/>
    <col min="3" max="3" width="15.5703125" style="1" customWidth="1"/>
    <col min="4" max="4" width="11.7109375" style="1" bestFit="1" customWidth="1"/>
    <col min="5" max="5" width="13.42578125" style="1" bestFit="1" customWidth="1"/>
    <col min="6" max="6" width="11.140625" style="1" bestFit="1" customWidth="1"/>
    <col min="7" max="7" width="16" style="1" customWidth="1"/>
    <col min="8" max="8" width="14.28515625" style="1" customWidth="1"/>
    <col min="9" max="9" width="14.140625" style="1" bestFit="1" customWidth="1"/>
    <col min="10" max="10" width="18.42578125" style="1" bestFit="1" customWidth="1"/>
    <col min="11" max="11" width="11.42578125" style="1" customWidth="1"/>
    <col min="12" max="12" width="18" style="1" bestFit="1" customWidth="1"/>
    <col min="13" max="13" width="18.42578125" style="1" bestFit="1" customWidth="1"/>
    <col min="14" max="15" width="15" style="1" bestFit="1" customWidth="1"/>
    <col min="16" max="16384" width="11.42578125" style="1"/>
  </cols>
  <sheetData>
    <row r="1" spans="1:17" ht="12.75" customHeight="1" x14ac:dyDescent="0.2">
      <c r="A1" s="2"/>
      <c r="B1" s="2"/>
      <c r="C1" s="2"/>
      <c r="D1" s="2"/>
      <c r="E1" s="2"/>
      <c r="F1" s="2"/>
      <c r="G1" s="2"/>
    </row>
    <row r="2" spans="1:17" ht="12.75" customHeight="1" thickBot="1" x14ac:dyDescent="0.25">
      <c r="A2" s="153" t="s">
        <v>0</v>
      </c>
      <c r="B2" s="153" t="s">
        <v>1</v>
      </c>
      <c r="C2" s="153" t="s">
        <v>2</v>
      </c>
      <c r="D2" s="153" t="s">
        <v>3</v>
      </c>
      <c r="E2" s="153"/>
      <c r="F2" s="3"/>
      <c r="G2" s="4" t="s">
        <v>12</v>
      </c>
      <c r="H2" s="4" t="s">
        <v>13</v>
      </c>
      <c r="I2" s="4" t="s">
        <v>14</v>
      </c>
      <c r="M2" s="13" t="s">
        <v>250</v>
      </c>
      <c r="N2" s="13" t="s">
        <v>5</v>
      </c>
    </row>
    <row r="3" spans="1:17" ht="12.75" customHeight="1" thickBot="1" x14ac:dyDescent="0.25">
      <c r="A3" s="153"/>
      <c r="B3" s="153"/>
      <c r="C3" s="153"/>
      <c r="D3" s="4" t="s">
        <v>4</v>
      </c>
      <c r="E3" s="4" t="s">
        <v>5</v>
      </c>
      <c r="F3" s="3"/>
      <c r="G3" s="4">
        <v>30</v>
      </c>
      <c r="H3" s="121">
        <v>1159.06</v>
      </c>
      <c r="I3" s="5">
        <v>16226.84</v>
      </c>
      <c r="J3" s="11"/>
      <c r="L3" s="8" t="s">
        <v>0</v>
      </c>
      <c r="M3" s="8" t="s">
        <v>16</v>
      </c>
      <c r="N3" s="9" t="s">
        <v>16</v>
      </c>
    </row>
    <row r="4" spans="1:17" ht="12.75" customHeight="1" x14ac:dyDescent="0.2">
      <c r="A4" s="4" t="s">
        <v>6</v>
      </c>
      <c r="B4" s="5">
        <v>1326.9</v>
      </c>
      <c r="C4" s="5">
        <v>51.07</v>
      </c>
      <c r="D4" s="5">
        <v>818.82</v>
      </c>
      <c r="E4" s="5">
        <v>31.53</v>
      </c>
      <c r="F4" s="3"/>
      <c r="G4" s="4">
        <v>29</v>
      </c>
      <c r="H4" s="121">
        <v>1039.6099999999999</v>
      </c>
      <c r="I4" s="5">
        <v>14554.54</v>
      </c>
      <c r="J4" s="11"/>
      <c r="L4" s="10" t="s">
        <v>6</v>
      </c>
      <c r="M4" s="121">
        <v>1054.5984000000001</v>
      </c>
      <c r="N4" s="122">
        <v>63.821400000000004</v>
      </c>
    </row>
    <row r="5" spans="1:17" ht="12.75" customHeight="1" x14ac:dyDescent="0.2">
      <c r="A5" s="4" t="s">
        <v>7</v>
      </c>
      <c r="B5" s="5">
        <v>1147.3499999999999</v>
      </c>
      <c r="C5" s="5">
        <v>41.65</v>
      </c>
      <c r="D5" s="5">
        <v>836.78</v>
      </c>
      <c r="E5" s="5">
        <v>30.37</v>
      </c>
      <c r="F5" s="3"/>
      <c r="G5" s="4">
        <v>28</v>
      </c>
      <c r="H5" s="121">
        <v>995.93</v>
      </c>
      <c r="I5" s="5">
        <f t="shared" ref="I5:I18" si="0">H5*14</f>
        <v>13943.019999999999</v>
      </c>
      <c r="J5" s="11"/>
      <c r="L5" s="10" t="s">
        <v>7</v>
      </c>
      <c r="M5" s="121">
        <v>785.07360000000006</v>
      </c>
      <c r="N5" s="122">
        <v>48.7254</v>
      </c>
    </row>
    <row r="6" spans="1:17" ht="12.75" customHeight="1" x14ac:dyDescent="0.2">
      <c r="A6" s="4" t="s">
        <v>8</v>
      </c>
      <c r="B6" s="5">
        <v>1002.94</v>
      </c>
      <c r="C6" s="5">
        <v>36.54</v>
      </c>
      <c r="D6" s="5">
        <v>866.84</v>
      </c>
      <c r="E6" s="5">
        <v>31.6</v>
      </c>
      <c r="F6" s="3"/>
      <c r="G6" s="4">
        <v>27</v>
      </c>
      <c r="H6" s="121">
        <v>952.17</v>
      </c>
      <c r="I6" s="5">
        <f t="shared" si="0"/>
        <v>13330.38</v>
      </c>
      <c r="J6" s="11"/>
      <c r="L6" s="10" t="s">
        <v>8</v>
      </c>
      <c r="M6" s="121">
        <v>785.07360000000006</v>
      </c>
      <c r="N6" s="122">
        <v>48.7254</v>
      </c>
    </row>
    <row r="7" spans="1:17" ht="12.75" customHeight="1" x14ac:dyDescent="0.2">
      <c r="A7" s="4" t="s">
        <v>9</v>
      </c>
      <c r="B7" s="5">
        <v>861.46</v>
      </c>
      <c r="C7" s="5">
        <v>31.53</v>
      </c>
      <c r="D7" s="5">
        <v>744.56</v>
      </c>
      <c r="E7" s="5">
        <v>27.21</v>
      </c>
      <c r="F7" s="3"/>
      <c r="G7" s="4">
        <v>26</v>
      </c>
      <c r="H7" s="121">
        <v>835.38</v>
      </c>
      <c r="I7" s="5">
        <f t="shared" si="0"/>
        <v>11695.32</v>
      </c>
      <c r="J7" s="11"/>
      <c r="L7" s="10" t="s">
        <v>9</v>
      </c>
      <c r="M7" s="121">
        <v>640.13160000000005</v>
      </c>
      <c r="N7" s="122">
        <v>39.086399999999998</v>
      </c>
    </row>
    <row r="8" spans="1:17" ht="12.75" customHeight="1" x14ac:dyDescent="0.2">
      <c r="A8" s="4" t="s">
        <v>10</v>
      </c>
      <c r="B8" s="5">
        <v>716.98</v>
      </c>
      <c r="C8" s="5">
        <v>21.46</v>
      </c>
      <c r="D8" s="5">
        <v>710.44</v>
      </c>
      <c r="E8" s="5">
        <v>21.24</v>
      </c>
      <c r="F8" s="3"/>
      <c r="G8" s="4">
        <v>25</v>
      </c>
      <c r="H8" s="121">
        <v>741.15</v>
      </c>
      <c r="I8" s="5">
        <f t="shared" si="0"/>
        <v>10376.1</v>
      </c>
      <c r="J8" s="11"/>
      <c r="L8" s="10" t="s">
        <v>10</v>
      </c>
      <c r="M8" s="121">
        <v>422.26980000000003</v>
      </c>
      <c r="N8" s="122">
        <v>26.315999999999999</v>
      </c>
    </row>
    <row r="9" spans="1:17" ht="12.75" customHeight="1" x14ac:dyDescent="0.2">
      <c r="A9" s="4" t="s">
        <v>11</v>
      </c>
      <c r="B9" s="5">
        <v>656.23</v>
      </c>
      <c r="C9" s="5">
        <v>16.16</v>
      </c>
      <c r="D9" s="5">
        <v>656.23</v>
      </c>
      <c r="E9" s="5">
        <v>16.16</v>
      </c>
      <c r="F9" s="3"/>
      <c r="G9" s="4">
        <v>24</v>
      </c>
      <c r="H9" s="121">
        <v>697.43</v>
      </c>
      <c r="I9" s="5">
        <f t="shared" si="0"/>
        <v>9764.0199999999986</v>
      </c>
      <c r="J9" s="11"/>
      <c r="L9" s="10" t="s">
        <v>11</v>
      </c>
      <c r="M9" s="121">
        <v>374.32980000000003</v>
      </c>
      <c r="N9" s="122">
        <v>19.604399999999998</v>
      </c>
    </row>
    <row r="10" spans="1:17" ht="12.75" customHeight="1" x14ac:dyDescent="0.2">
      <c r="A10" s="3"/>
      <c r="B10" s="3"/>
      <c r="C10" s="3"/>
      <c r="D10" s="3"/>
      <c r="E10" s="3"/>
      <c r="F10" s="3"/>
      <c r="G10" s="4">
        <v>23</v>
      </c>
      <c r="H10" s="121">
        <v>653.76</v>
      </c>
      <c r="I10" s="5">
        <f t="shared" si="0"/>
        <v>9152.64</v>
      </c>
      <c r="J10" s="11"/>
    </row>
    <row r="11" spans="1:17" ht="12.75" customHeight="1" x14ac:dyDescent="0.2">
      <c r="A11" s="3"/>
      <c r="B11" s="3"/>
      <c r="C11" s="3"/>
      <c r="D11" s="3"/>
      <c r="E11" s="3"/>
      <c r="G11" s="4">
        <v>22</v>
      </c>
      <c r="H11" s="121">
        <v>610</v>
      </c>
      <c r="I11" s="5">
        <f t="shared" si="0"/>
        <v>8540</v>
      </c>
      <c r="J11" s="11"/>
    </row>
    <row r="12" spans="1:17" ht="12.75" customHeight="1" x14ac:dyDescent="0.2">
      <c r="D12" s="6"/>
      <c r="E12" s="3"/>
      <c r="G12" s="4">
        <v>21</v>
      </c>
      <c r="H12" s="121">
        <v>566.36</v>
      </c>
      <c r="I12" s="5">
        <f t="shared" si="0"/>
        <v>7929.04</v>
      </c>
      <c r="J12" s="11"/>
      <c r="L12" s="16" t="s">
        <v>0</v>
      </c>
      <c r="M12" s="16" t="s">
        <v>58</v>
      </c>
      <c r="N12" s="16" t="s">
        <v>59</v>
      </c>
    </row>
    <row r="13" spans="1:17" ht="12.75" customHeight="1" x14ac:dyDescent="0.2">
      <c r="D13" s="3"/>
      <c r="E13" s="3"/>
      <c r="G13" s="4">
        <v>20</v>
      </c>
      <c r="H13" s="121">
        <v>526.09</v>
      </c>
      <c r="I13" s="5">
        <f t="shared" si="0"/>
        <v>7365.26</v>
      </c>
      <c r="J13" s="11"/>
      <c r="L13" s="18" t="s">
        <v>6</v>
      </c>
      <c r="M13" s="19">
        <v>118.04</v>
      </c>
      <c r="N13" s="19">
        <v>51.68</v>
      </c>
      <c r="P13" s="11"/>
      <c r="Q13" s="15"/>
    </row>
    <row r="14" spans="1:17" ht="12.75" customHeight="1" x14ac:dyDescent="0.2">
      <c r="D14" s="3"/>
      <c r="E14" s="3"/>
      <c r="G14" s="4">
        <v>19</v>
      </c>
      <c r="H14" s="121">
        <v>499.24</v>
      </c>
      <c r="I14" s="5">
        <f t="shared" si="0"/>
        <v>6989.3600000000006</v>
      </c>
      <c r="J14" s="11"/>
      <c r="K14" s="11"/>
      <c r="L14" s="18" t="s">
        <v>7</v>
      </c>
      <c r="M14" s="19">
        <v>92.9</v>
      </c>
      <c r="N14" s="19">
        <v>40.68</v>
      </c>
      <c r="P14" s="11"/>
      <c r="Q14" s="15"/>
    </row>
    <row r="15" spans="1:17" ht="12.75" customHeight="1" x14ac:dyDescent="0.2">
      <c r="A15" s="14" t="s">
        <v>17</v>
      </c>
      <c r="B15" s="14" t="s">
        <v>18</v>
      </c>
      <c r="C15" s="14" t="s">
        <v>19</v>
      </c>
      <c r="D15" s="14" t="s">
        <v>20</v>
      </c>
      <c r="E15" s="3"/>
      <c r="G15" s="4">
        <v>18</v>
      </c>
      <c r="H15" s="121">
        <v>472.37</v>
      </c>
      <c r="I15" s="5">
        <f t="shared" si="0"/>
        <v>6613.18</v>
      </c>
      <c r="J15" s="11"/>
      <c r="K15" s="11"/>
      <c r="L15" s="18" t="s">
        <v>8</v>
      </c>
      <c r="M15" s="18">
        <v>81.349999999999994</v>
      </c>
      <c r="N15" s="18">
        <v>35.619999999999997</v>
      </c>
      <c r="P15" s="11"/>
      <c r="Q15" s="15"/>
    </row>
    <row r="16" spans="1:17" ht="12.75" customHeight="1" x14ac:dyDescent="0.2">
      <c r="A16" s="14" t="s">
        <v>21</v>
      </c>
      <c r="B16" s="115">
        <f>ROUND(4412.62129977,2)</f>
        <v>4412.62</v>
      </c>
      <c r="C16" s="115">
        <f t="shared" ref="C16:C39" si="1">B16*14</f>
        <v>61776.68</v>
      </c>
      <c r="D16" s="115">
        <f t="shared" ref="D16:D39" si="2">C16/14</f>
        <v>4412.62</v>
      </c>
      <c r="E16" s="3"/>
      <c r="G16" s="4">
        <v>17</v>
      </c>
      <c r="H16" s="121">
        <v>445.5</v>
      </c>
      <c r="I16" s="5">
        <f t="shared" si="0"/>
        <v>6237</v>
      </c>
      <c r="J16" s="11"/>
      <c r="K16" s="11"/>
      <c r="L16" s="19" t="s">
        <v>9</v>
      </c>
      <c r="M16" s="19">
        <v>71.349999999999994</v>
      </c>
      <c r="N16" s="19">
        <v>31.24</v>
      </c>
      <c r="P16" s="11"/>
      <c r="Q16" s="15"/>
    </row>
    <row r="17" spans="1:17" ht="12.75" customHeight="1" x14ac:dyDescent="0.2">
      <c r="A17" s="14" t="s">
        <v>22</v>
      </c>
      <c r="B17" s="115">
        <f>ROUND(2298.73787109,2)</f>
        <v>2298.7399999999998</v>
      </c>
      <c r="C17" s="115">
        <f t="shared" si="1"/>
        <v>32182.359999999997</v>
      </c>
      <c r="D17" s="115">
        <f t="shared" si="2"/>
        <v>2298.7399999999998</v>
      </c>
      <c r="E17" s="3"/>
      <c r="G17" s="4">
        <v>16</v>
      </c>
      <c r="H17" s="121">
        <v>418.69</v>
      </c>
      <c r="I17" s="5">
        <f t="shared" si="0"/>
        <v>5861.66</v>
      </c>
      <c r="J17" s="11"/>
      <c r="K17" s="11"/>
      <c r="L17" s="19" t="s">
        <v>10</v>
      </c>
      <c r="M17" s="19">
        <v>56.45</v>
      </c>
      <c r="N17" s="19">
        <v>24.72</v>
      </c>
      <c r="P17" s="11"/>
      <c r="Q17" s="15"/>
    </row>
    <row r="18" spans="1:17" ht="12.75" customHeight="1" x14ac:dyDescent="0.2">
      <c r="A18" s="14" t="s">
        <v>23</v>
      </c>
      <c r="B18" s="115">
        <f>ROUND(1520.20324935,2)</f>
        <v>1520.2</v>
      </c>
      <c r="C18" s="115">
        <f t="shared" si="1"/>
        <v>21282.799999999999</v>
      </c>
      <c r="D18" s="115">
        <f t="shared" si="2"/>
        <v>1520.2</v>
      </c>
      <c r="E18" s="3"/>
      <c r="G18" s="4">
        <v>15</v>
      </c>
      <c r="H18" s="121">
        <v>391.78</v>
      </c>
      <c r="I18" s="5">
        <f t="shared" si="0"/>
        <v>5484.92</v>
      </c>
      <c r="J18" s="11"/>
      <c r="K18" s="11"/>
      <c r="L18" s="19" t="s">
        <v>11</v>
      </c>
      <c r="M18" s="19">
        <v>48.13</v>
      </c>
      <c r="N18" s="19">
        <v>21.07</v>
      </c>
    </row>
    <row r="19" spans="1:17" ht="12.75" customHeight="1" x14ac:dyDescent="0.2">
      <c r="A19" s="14" t="s">
        <v>24</v>
      </c>
      <c r="B19" s="115">
        <f>ROUND(915.702718114286,2)</f>
        <v>915.7</v>
      </c>
      <c r="C19" s="115">
        <f t="shared" si="1"/>
        <v>12819.800000000001</v>
      </c>
      <c r="D19" s="115">
        <f t="shared" si="2"/>
        <v>915.7</v>
      </c>
      <c r="E19" s="3"/>
      <c r="F19" s="116"/>
      <c r="G19" s="116"/>
      <c r="H19" s="116"/>
      <c r="I19" s="7"/>
      <c r="J19" s="12"/>
    </row>
    <row r="20" spans="1:17" ht="12.75" customHeight="1" x14ac:dyDescent="0.2">
      <c r="A20" s="14" t="s">
        <v>25</v>
      </c>
      <c r="B20" s="115">
        <f>ROUND(1104.61245109714,2)</f>
        <v>1104.6099999999999</v>
      </c>
      <c r="C20" s="115">
        <f t="shared" si="1"/>
        <v>15464.539999999999</v>
      </c>
      <c r="D20" s="115">
        <f t="shared" si="2"/>
        <v>1104.6099999999999</v>
      </c>
      <c r="E20" s="3"/>
      <c r="I20" s="7"/>
    </row>
    <row r="21" spans="1:17" ht="12.75" customHeight="1" x14ac:dyDescent="0.2">
      <c r="A21" s="14" t="s">
        <v>226</v>
      </c>
      <c r="B21" s="115">
        <f>ROUND(2607.86598640777,2)</f>
        <v>2607.87</v>
      </c>
      <c r="C21" s="115">
        <f>B21*14</f>
        <v>36510.18</v>
      </c>
      <c r="D21" s="115">
        <f>C21/14</f>
        <v>2607.87</v>
      </c>
      <c r="E21" s="3"/>
      <c r="I21" s="7"/>
    </row>
    <row r="22" spans="1:17" ht="12.75" customHeight="1" x14ac:dyDescent="0.2">
      <c r="A22" s="14" t="s">
        <v>227</v>
      </c>
      <c r="B22" s="115">
        <f>ROUND(2369.09329514563,2)</f>
        <v>2369.09</v>
      </c>
      <c r="C22" s="115">
        <f>B22*14</f>
        <v>33167.26</v>
      </c>
      <c r="D22" s="115">
        <f>C22/14</f>
        <v>2369.09</v>
      </c>
      <c r="E22" s="3"/>
      <c r="G22" s="153" t="s">
        <v>254</v>
      </c>
      <c r="H22" s="153"/>
      <c r="I22" s="7"/>
      <c r="L22" s="11"/>
    </row>
    <row r="23" spans="1:17" ht="12.75" customHeight="1" x14ac:dyDescent="0.2">
      <c r="A23" s="14" t="s">
        <v>26</v>
      </c>
      <c r="B23" s="115">
        <f>ROUND(1342.12323384,2)</f>
        <v>1342.12</v>
      </c>
      <c r="C23" s="115">
        <f t="shared" si="1"/>
        <v>18789.68</v>
      </c>
      <c r="D23" s="115">
        <f t="shared" si="2"/>
        <v>1342.1200000000001</v>
      </c>
      <c r="E23" s="3"/>
      <c r="G23" s="20" t="s">
        <v>60</v>
      </c>
      <c r="H23" s="5">
        <v>1131.8699999999999</v>
      </c>
      <c r="I23" s="7"/>
      <c r="L23" s="11"/>
    </row>
    <row r="24" spans="1:17" ht="12.75" customHeight="1" x14ac:dyDescent="0.2">
      <c r="A24" s="14" t="s">
        <v>27</v>
      </c>
      <c r="B24" s="115">
        <f>ROUND(1230.836882265,2)</f>
        <v>1230.8399999999999</v>
      </c>
      <c r="C24" s="115">
        <f t="shared" si="1"/>
        <v>17231.759999999998</v>
      </c>
      <c r="D24" s="115">
        <f t="shared" si="2"/>
        <v>1230.8399999999999</v>
      </c>
      <c r="E24" s="3"/>
      <c r="G24" s="20" t="s">
        <v>265</v>
      </c>
      <c r="H24" s="5">
        <f>$H$23/3</f>
        <v>377.28999999999996</v>
      </c>
      <c r="I24" s="7"/>
      <c r="L24" s="11"/>
    </row>
    <row r="25" spans="1:17" ht="12.75" customHeight="1" x14ac:dyDescent="0.2">
      <c r="A25" s="14" t="s">
        <v>28</v>
      </c>
      <c r="B25" s="115">
        <f>ROUND(1103.05152324,2)</f>
        <v>1103.05</v>
      </c>
      <c r="C25" s="115">
        <f t="shared" si="1"/>
        <v>15442.699999999999</v>
      </c>
      <c r="D25" s="115">
        <f t="shared" si="2"/>
        <v>1103.05</v>
      </c>
      <c r="E25" s="3"/>
      <c r="G25" s="20" t="s">
        <v>181</v>
      </c>
      <c r="H25" s="5">
        <f>$H$23/3</f>
        <v>377.28999999999996</v>
      </c>
      <c r="I25" s="7"/>
      <c r="L25" s="11"/>
    </row>
    <row r="26" spans="1:17" ht="12.75" customHeight="1" x14ac:dyDescent="0.2">
      <c r="A26" s="14" t="s">
        <v>29</v>
      </c>
      <c r="B26" s="115">
        <f>ROUND(913.60795293,2)</f>
        <v>913.61</v>
      </c>
      <c r="C26" s="115">
        <f t="shared" si="1"/>
        <v>12790.54</v>
      </c>
      <c r="D26" s="115">
        <f t="shared" si="2"/>
        <v>913.61</v>
      </c>
      <c r="E26" s="3"/>
      <c r="G26" s="20" t="s">
        <v>264</v>
      </c>
      <c r="H26" s="5">
        <f>$H$23/3</f>
        <v>377.28999999999996</v>
      </c>
      <c r="I26" s="7"/>
      <c r="L26" s="11"/>
    </row>
    <row r="27" spans="1:17" ht="12.75" customHeight="1" x14ac:dyDescent="0.2">
      <c r="A27" s="14" t="s">
        <v>30</v>
      </c>
      <c r="B27" s="115">
        <f>ROUND(906.407392725,2)</f>
        <v>906.41</v>
      </c>
      <c r="C27" s="115">
        <f t="shared" si="1"/>
        <v>12689.74</v>
      </c>
      <c r="D27" s="115">
        <f t="shared" si="2"/>
        <v>906.41</v>
      </c>
      <c r="E27" s="3"/>
      <c r="F27" s="3"/>
      <c r="G27" s="3"/>
      <c r="L27" s="11"/>
    </row>
    <row r="28" spans="1:17" ht="12.75" customHeight="1" x14ac:dyDescent="0.2">
      <c r="A28" s="14" t="s">
        <v>31</v>
      </c>
      <c r="B28" s="115">
        <f>ROUND(862.679559735,2)</f>
        <v>862.68</v>
      </c>
      <c r="C28" s="115">
        <f t="shared" si="1"/>
        <v>12077.519999999999</v>
      </c>
      <c r="D28" s="115">
        <f t="shared" si="2"/>
        <v>862.68</v>
      </c>
      <c r="E28" s="3"/>
      <c r="F28" s="3"/>
      <c r="G28" s="3"/>
    </row>
    <row r="29" spans="1:17" ht="12.75" customHeight="1" x14ac:dyDescent="0.2">
      <c r="A29" s="14" t="s">
        <v>32</v>
      </c>
      <c r="B29" s="115">
        <f>ROUND(761.718745935,2)</f>
        <v>761.72</v>
      </c>
      <c r="C29" s="115">
        <f t="shared" si="1"/>
        <v>10664.08</v>
      </c>
      <c r="D29" s="115">
        <f t="shared" si="2"/>
        <v>761.72</v>
      </c>
      <c r="E29" s="3"/>
      <c r="F29" s="3"/>
      <c r="G29" s="3"/>
    </row>
    <row r="30" spans="1:17" ht="12.75" customHeight="1" x14ac:dyDescent="0.2">
      <c r="A30" s="14" t="s">
        <v>33</v>
      </c>
      <c r="B30" s="115">
        <f>ROUND(754.572818205,2)</f>
        <v>754.57</v>
      </c>
      <c r="C30" s="115">
        <f t="shared" si="1"/>
        <v>10563.980000000001</v>
      </c>
      <c r="D30" s="115">
        <f t="shared" si="2"/>
        <v>754.57</v>
      </c>
      <c r="E30" s="3"/>
      <c r="F30" s="3"/>
      <c r="G30" s="3"/>
    </row>
    <row r="31" spans="1:17" ht="12.75" customHeight="1" x14ac:dyDescent="0.2">
      <c r="A31" s="14" t="s">
        <v>34</v>
      </c>
      <c r="B31" s="115">
        <f>ROUND(995.44740048,2)</f>
        <v>995.45</v>
      </c>
      <c r="C31" s="115">
        <f t="shared" si="1"/>
        <v>13936.300000000001</v>
      </c>
      <c r="D31" s="115">
        <f t="shared" si="2"/>
        <v>995.45</v>
      </c>
      <c r="E31" s="3"/>
    </row>
    <row r="32" spans="1:17" ht="12.75" customHeight="1" x14ac:dyDescent="0.2">
      <c r="A32" s="14" t="s">
        <v>35</v>
      </c>
      <c r="B32" s="115">
        <f>ROUND(963.946315395,2)</f>
        <v>963.95</v>
      </c>
      <c r="C32" s="115">
        <f t="shared" si="1"/>
        <v>13495.300000000001</v>
      </c>
      <c r="D32" s="115">
        <f t="shared" si="2"/>
        <v>963.95</v>
      </c>
      <c r="E32" s="3"/>
      <c r="F32" s="15"/>
      <c r="G32" s="150" t="s">
        <v>72</v>
      </c>
      <c r="H32" s="150"/>
      <c r="I32" s="4" t="s">
        <v>73</v>
      </c>
      <c r="J32" s="4" t="s">
        <v>74</v>
      </c>
    </row>
    <row r="33" spans="1:11" ht="12.75" customHeight="1" x14ac:dyDescent="0.2">
      <c r="A33" s="14" t="s">
        <v>36</v>
      </c>
      <c r="B33" s="115">
        <f>ROUND(902.44107504,2)</f>
        <v>902.44</v>
      </c>
      <c r="C33" s="115">
        <f t="shared" si="1"/>
        <v>12634.16</v>
      </c>
      <c r="D33" s="115">
        <f t="shared" si="2"/>
        <v>902.43999999999994</v>
      </c>
      <c r="E33" s="3"/>
      <c r="F33" s="15"/>
      <c r="G33" s="151" t="s">
        <v>75</v>
      </c>
      <c r="H33" s="152"/>
      <c r="I33" s="5">
        <v>1704.624</v>
      </c>
      <c r="J33" s="5">
        <f>I33</f>
        <v>1704.624</v>
      </c>
      <c r="K33" s="112"/>
    </row>
    <row r="34" spans="1:11" ht="12.75" customHeight="1" x14ac:dyDescent="0.2">
      <c r="A34" s="14" t="s">
        <v>37</v>
      </c>
      <c r="B34" s="115">
        <f>ROUND(881.888337945,2)</f>
        <v>881.89</v>
      </c>
      <c r="C34" s="115">
        <f t="shared" si="1"/>
        <v>12346.46</v>
      </c>
      <c r="D34" s="115">
        <f t="shared" si="2"/>
        <v>881.89</v>
      </c>
      <c r="E34" s="3"/>
      <c r="F34" s="15"/>
      <c r="G34" s="24" t="s">
        <v>76</v>
      </c>
      <c r="H34" s="24"/>
      <c r="I34" s="5">
        <v>770.6303999999999</v>
      </c>
      <c r="J34" s="5">
        <f t="shared" ref="J34:J37" si="3">I34</f>
        <v>770.6303999999999</v>
      </c>
      <c r="K34" s="112"/>
    </row>
    <row r="35" spans="1:11" ht="12.75" customHeight="1" x14ac:dyDescent="0.2">
      <c r="A35" s="14" t="s">
        <v>38</v>
      </c>
      <c r="B35" s="115">
        <f>ROUND(820.88571636,2)</f>
        <v>820.89</v>
      </c>
      <c r="C35" s="115">
        <f t="shared" si="1"/>
        <v>11492.46</v>
      </c>
      <c r="D35" s="115">
        <f t="shared" si="2"/>
        <v>820.89</v>
      </c>
      <c r="E35" s="3"/>
      <c r="F35" s="15"/>
      <c r="G35" s="24" t="s">
        <v>77</v>
      </c>
      <c r="H35" s="24"/>
      <c r="I35" s="5">
        <v>600.85140000000001</v>
      </c>
      <c r="J35" s="5">
        <f t="shared" si="3"/>
        <v>600.85140000000001</v>
      </c>
      <c r="K35" s="112"/>
    </row>
    <row r="36" spans="1:11" ht="12.75" customHeight="1" x14ac:dyDescent="0.2">
      <c r="A36" s="14" t="s">
        <v>39</v>
      </c>
      <c r="B36" s="115">
        <f>ROUND(785.54943153,2)</f>
        <v>785.55</v>
      </c>
      <c r="C36" s="115">
        <f t="shared" si="1"/>
        <v>10997.699999999999</v>
      </c>
      <c r="D36" s="115">
        <f t="shared" si="2"/>
        <v>785.55</v>
      </c>
      <c r="E36" s="3"/>
      <c r="F36" s="15"/>
      <c r="G36" s="24" t="s">
        <v>78</v>
      </c>
      <c r="H36" s="24"/>
      <c r="I36" s="5">
        <v>324.23759999999999</v>
      </c>
      <c r="J36" s="5">
        <f t="shared" si="3"/>
        <v>324.23759999999999</v>
      </c>
      <c r="K36" s="112"/>
    </row>
    <row r="37" spans="1:11" ht="12.75" customHeight="1" x14ac:dyDescent="0.2">
      <c r="A37" s="14" t="s">
        <v>251</v>
      </c>
      <c r="B37" s="115">
        <f>ROUND(1751.3196,2)</f>
        <v>1751.32</v>
      </c>
      <c r="C37" s="115">
        <f t="shared" si="1"/>
        <v>24518.48</v>
      </c>
      <c r="D37" s="115">
        <f t="shared" si="2"/>
        <v>1751.32</v>
      </c>
      <c r="E37" s="3"/>
      <c r="F37" s="15"/>
      <c r="G37" s="24" t="s">
        <v>79</v>
      </c>
      <c r="H37" s="24"/>
      <c r="I37" s="5">
        <v>434.77499999999998</v>
      </c>
      <c r="J37" s="5">
        <f t="shared" si="3"/>
        <v>434.77499999999998</v>
      </c>
      <c r="K37" s="112"/>
    </row>
    <row r="38" spans="1:11" ht="12.75" customHeight="1" x14ac:dyDescent="0.2">
      <c r="A38" s="14" t="s">
        <v>252</v>
      </c>
      <c r="B38" s="115">
        <f>ROUND(1230.836882265,2)</f>
        <v>1230.8399999999999</v>
      </c>
      <c r="C38" s="115">
        <f t="shared" si="1"/>
        <v>17231.759999999998</v>
      </c>
      <c r="D38" s="115">
        <f t="shared" si="2"/>
        <v>1230.8399999999999</v>
      </c>
      <c r="E38" s="3"/>
      <c r="F38" s="15"/>
      <c r="G38" s="117" t="s">
        <v>80</v>
      </c>
      <c r="H38" s="118"/>
      <c r="I38" s="5">
        <v>233.72279999999998</v>
      </c>
      <c r="J38" s="5">
        <f>I38</f>
        <v>233.72279999999998</v>
      </c>
      <c r="K38" s="112"/>
    </row>
    <row r="39" spans="1:11" ht="12.75" customHeight="1" x14ac:dyDescent="0.2">
      <c r="A39" s="14" t="s">
        <v>253</v>
      </c>
      <c r="B39" s="115">
        <f>ROUND(1197.6738,2)</f>
        <v>1197.67</v>
      </c>
      <c r="C39" s="115">
        <f t="shared" si="1"/>
        <v>16767.38</v>
      </c>
      <c r="D39" s="115">
        <f t="shared" si="2"/>
        <v>1197.67</v>
      </c>
      <c r="E39" s="3"/>
      <c r="F39" s="15"/>
      <c r="G39" s="24" t="s">
        <v>81</v>
      </c>
      <c r="H39" s="24"/>
      <c r="I39" s="5">
        <v>434.77499999999998</v>
      </c>
      <c r="J39" s="5">
        <f>I39</f>
        <v>434.77499999999998</v>
      </c>
      <c r="K39" s="112"/>
    </row>
    <row r="40" spans="1:11" ht="12.75" customHeight="1" x14ac:dyDescent="0.2">
      <c r="A40" s="14" t="s">
        <v>40</v>
      </c>
      <c r="B40" s="115">
        <f>ROUND(922.61138481,2)</f>
        <v>922.61</v>
      </c>
      <c r="C40" s="115">
        <f t="shared" ref="C40:C57" si="4">B40*14</f>
        <v>12916.54</v>
      </c>
      <c r="D40" s="115">
        <f t="shared" ref="D40:D57" si="5">C40/14</f>
        <v>922.61</v>
      </c>
      <c r="E40" s="3"/>
      <c r="F40" s="15"/>
      <c r="G40" s="24" t="s">
        <v>82</v>
      </c>
      <c r="H40" s="24"/>
      <c r="I40" s="5">
        <v>169.08540000000002</v>
      </c>
      <c r="J40" s="5">
        <f>I40</f>
        <v>169.08540000000002</v>
      </c>
      <c r="K40" s="112"/>
    </row>
    <row r="41" spans="1:11" ht="12.75" customHeight="1" x14ac:dyDescent="0.2">
      <c r="A41" s="14" t="s">
        <v>41</v>
      </c>
      <c r="B41" s="115">
        <f>ROUND(875.71486827,2)</f>
        <v>875.71</v>
      </c>
      <c r="C41" s="115">
        <f t="shared" si="4"/>
        <v>12259.94</v>
      </c>
      <c r="D41" s="115">
        <f t="shared" si="5"/>
        <v>875.71</v>
      </c>
      <c r="E41" s="3"/>
      <c r="F41" s="15"/>
      <c r="K41" s="112"/>
    </row>
    <row r="42" spans="1:11" ht="12.75" customHeight="1" x14ac:dyDescent="0.2">
      <c r="A42" s="14" t="s">
        <v>42</v>
      </c>
      <c r="B42" s="115">
        <f>ROUND(848.90124954,2)</f>
        <v>848.9</v>
      </c>
      <c r="C42" s="115">
        <f t="shared" si="4"/>
        <v>11884.6</v>
      </c>
      <c r="D42" s="115">
        <f t="shared" si="5"/>
        <v>848.9</v>
      </c>
      <c r="E42" s="3"/>
      <c r="F42" s="15"/>
      <c r="K42" s="112"/>
    </row>
    <row r="43" spans="1:11" ht="12.75" customHeight="1" x14ac:dyDescent="0.2">
      <c r="A43" s="14" t="s">
        <v>43</v>
      </c>
      <c r="B43" s="115">
        <f>ROUND(827.31049542,2)</f>
        <v>827.31</v>
      </c>
      <c r="C43" s="115">
        <f t="shared" si="4"/>
        <v>11582.34</v>
      </c>
      <c r="D43" s="115">
        <f t="shared" si="5"/>
        <v>827.31000000000006</v>
      </c>
      <c r="E43" s="3"/>
      <c r="F43" s="15"/>
    </row>
    <row r="44" spans="1:11" ht="12.75" customHeight="1" x14ac:dyDescent="0.2">
      <c r="A44" s="14" t="s">
        <v>44</v>
      </c>
      <c r="B44" s="115">
        <f>ROUND(820.131788205,2)</f>
        <v>820.13</v>
      </c>
      <c r="C44" s="115">
        <f t="shared" si="4"/>
        <v>11481.82</v>
      </c>
      <c r="D44" s="115">
        <f t="shared" si="5"/>
        <v>820.13</v>
      </c>
      <c r="E44" s="3"/>
      <c r="F44" s="15"/>
    </row>
    <row r="45" spans="1:11" ht="12.75" customHeight="1" x14ac:dyDescent="0.2">
      <c r="A45" s="14" t="s">
        <v>45</v>
      </c>
      <c r="B45" s="115">
        <f>ROUND(813.903686055,2)</f>
        <v>813.9</v>
      </c>
      <c r="C45" s="115">
        <f t="shared" si="4"/>
        <v>11394.6</v>
      </c>
      <c r="D45" s="115">
        <f t="shared" si="5"/>
        <v>813.9</v>
      </c>
      <c r="E45" s="3"/>
      <c r="F45" s="15"/>
    </row>
    <row r="46" spans="1:11" ht="12.75" customHeight="1" x14ac:dyDescent="0.2">
      <c r="A46" s="14" t="s">
        <v>46</v>
      </c>
      <c r="B46" s="115">
        <f>ROUND(805.730667795,2)</f>
        <v>805.73</v>
      </c>
      <c r="C46" s="115">
        <f t="shared" si="4"/>
        <v>11280.220000000001</v>
      </c>
      <c r="D46" s="115">
        <f t="shared" si="5"/>
        <v>805.73000000000013</v>
      </c>
      <c r="E46" s="3"/>
      <c r="F46" s="15"/>
    </row>
    <row r="47" spans="1:11" ht="12.75" customHeight="1" x14ac:dyDescent="0.2">
      <c r="A47" s="14" t="s">
        <v>47</v>
      </c>
      <c r="B47" s="115">
        <f>ROUND(798.541034085,2)</f>
        <v>798.54</v>
      </c>
      <c r="C47" s="115">
        <f t="shared" si="4"/>
        <v>11179.56</v>
      </c>
      <c r="D47" s="115">
        <f t="shared" si="5"/>
        <v>798.54</v>
      </c>
      <c r="E47" s="3"/>
      <c r="F47" s="15"/>
    </row>
    <row r="48" spans="1:11" ht="12.75" customHeight="1" x14ac:dyDescent="0.2">
      <c r="A48" s="14" t="s">
        <v>48</v>
      </c>
      <c r="B48" s="115">
        <f>ROUND(758.84507775,2)</f>
        <v>758.85</v>
      </c>
      <c r="C48" s="115">
        <f t="shared" si="4"/>
        <v>10623.9</v>
      </c>
      <c r="D48" s="115">
        <f t="shared" si="5"/>
        <v>758.85</v>
      </c>
      <c r="E48" s="3"/>
      <c r="F48" s="15"/>
    </row>
    <row r="49" spans="1:13" ht="12.75" customHeight="1" x14ac:dyDescent="0.2">
      <c r="A49" s="14" t="s">
        <v>49</v>
      </c>
      <c r="B49" s="115">
        <f>ROUND(744.44395734,2)</f>
        <v>744.44</v>
      </c>
      <c r="C49" s="115">
        <f t="shared" si="4"/>
        <v>10422.16</v>
      </c>
      <c r="D49" s="115">
        <f t="shared" si="5"/>
        <v>744.43999999999994</v>
      </c>
      <c r="E49" s="3"/>
      <c r="F49" s="15"/>
    </row>
    <row r="50" spans="1:13" ht="12.75" customHeight="1" x14ac:dyDescent="0.2">
      <c r="A50" s="14" t="s">
        <v>50</v>
      </c>
      <c r="B50" s="115">
        <f>ROUND(737.243397135,2)</f>
        <v>737.24</v>
      </c>
      <c r="C50" s="115">
        <f t="shared" si="4"/>
        <v>10321.36</v>
      </c>
      <c r="D50" s="115">
        <f t="shared" si="5"/>
        <v>737.24</v>
      </c>
      <c r="E50" s="3"/>
      <c r="F50" s="15"/>
    </row>
    <row r="51" spans="1:13" ht="12.75" customHeight="1" x14ac:dyDescent="0.2">
      <c r="A51" s="14" t="s">
        <v>51</v>
      </c>
      <c r="B51" s="115">
        <f>ROUND(717.58663263,2)</f>
        <v>717.59</v>
      </c>
      <c r="C51" s="115">
        <f t="shared" si="4"/>
        <v>10046.26</v>
      </c>
      <c r="D51" s="115">
        <f t="shared" si="5"/>
        <v>717.59</v>
      </c>
      <c r="E51" s="3"/>
      <c r="F51" s="15"/>
    </row>
    <row r="52" spans="1:13" ht="12.75" customHeight="1" x14ac:dyDescent="0.2">
      <c r="A52" s="14" t="s">
        <v>52</v>
      </c>
      <c r="B52" s="115">
        <f>ROUND(710.389974744642,2)</f>
        <v>710.39</v>
      </c>
      <c r="C52" s="115">
        <f t="shared" si="4"/>
        <v>9945.4599999999991</v>
      </c>
      <c r="D52" s="115">
        <f t="shared" si="5"/>
        <v>710.39</v>
      </c>
      <c r="E52" s="3"/>
      <c r="F52" s="15"/>
    </row>
    <row r="53" spans="1:13" ht="12.75" customHeight="1" x14ac:dyDescent="0.2">
      <c r="A53" s="14" t="s">
        <v>53</v>
      </c>
      <c r="B53" s="115">
        <f>ROUND(631.87920585,2)</f>
        <v>631.88</v>
      </c>
      <c r="C53" s="115">
        <f t="shared" si="4"/>
        <v>8846.32</v>
      </c>
      <c r="D53" s="115">
        <f t="shared" si="5"/>
        <v>631.88</v>
      </c>
      <c r="E53" s="3"/>
      <c r="F53" s="15"/>
    </row>
    <row r="54" spans="1:13" ht="12.75" customHeight="1" x14ac:dyDescent="0.2">
      <c r="A54" s="14" t="s">
        <v>54</v>
      </c>
      <c r="B54" s="115">
        <f>ROUND(658.747457055,2)</f>
        <v>658.75</v>
      </c>
      <c r="C54" s="115">
        <f t="shared" si="4"/>
        <v>9222.5</v>
      </c>
      <c r="D54" s="115">
        <f t="shared" si="5"/>
        <v>658.75</v>
      </c>
      <c r="E54" s="3"/>
      <c r="F54" s="15"/>
    </row>
    <row r="55" spans="1:13" ht="12.75" customHeight="1" x14ac:dyDescent="0.2">
      <c r="A55" s="14" t="s">
        <v>55</v>
      </c>
      <c r="B55" s="115">
        <f>ROUND(592.445485395,2)</f>
        <v>592.45000000000005</v>
      </c>
      <c r="C55" s="115">
        <f t="shared" si="4"/>
        <v>8294.3000000000011</v>
      </c>
      <c r="D55" s="115">
        <f t="shared" si="5"/>
        <v>592.45000000000005</v>
      </c>
      <c r="E55" s="3"/>
      <c r="F55" s="15"/>
    </row>
    <row r="56" spans="1:13" ht="12.75" customHeight="1" x14ac:dyDescent="0.2">
      <c r="A56" s="14" t="s">
        <v>56</v>
      </c>
      <c r="B56" s="115">
        <f>ROUND(736.740778365,2)</f>
        <v>736.74</v>
      </c>
      <c r="C56" s="115">
        <f t="shared" si="4"/>
        <v>10314.36</v>
      </c>
      <c r="D56" s="115">
        <f t="shared" si="5"/>
        <v>736.74</v>
      </c>
      <c r="E56" s="3"/>
      <c r="F56" s="15"/>
    </row>
    <row r="57" spans="1:13" ht="12.75" customHeight="1" x14ac:dyDescent="0.2">
      <c r="A57" s="14" t="s">
        <v>57</v>
      </c>
      <c r="B57" s="115">
        <f>ROUND(648.607669695,2)</f>
        <v>648.61</v>
      </c>
      <c r="C57" s="115">
        <f t="shared" si="4"/>
        <v>9080.5400000000009</v>
      </c>
      <c r="D57" s="115">
        <f t="shared" si="5"/>
        <v>648.61</v>
      </c>
      <c r="E57" s="3"/>
      <c r="F57" s="15"/>
    </row>
    <row r="58" spans="1:13" ht="12.75" customHeight="1" x14ac:dyDescent="0.2">
      <c r="F58" s="15"/>
    </row>
    <row r="59" spans="1:13" ht="12.75" customHeight="1" x14ac:dyDescent="0.2">
      <c r="F59" s="15"/>
    </row>
    <row r="60" spans="1:13" ht="12.75" customHeight="1" x14ac:dyDescent="0.2">
      <c r="F60" s="15"/>
    </row>
    <row r="61" spans="1:13" ht="12.75" customHeight="1" x14ac:dyDescent="0.2">
      <c r="F61" s="15"/>
    </row>
    <row r="62" spans="1:13" ht="12.75" customHeight="1" x14ac:dyDescent="0.2">
      <c r="F62" s="15"/>
    </row>
    <row r="63" spans="1:13" ht="12.75" customHeight="1" x14ac:dyDescent="0.2">
      <c r="F63" s="15"/>
    </row>
    <row r="64" spans="1:13" ht="12.75" customHeight="1" x14ac:dyDescent="0.2">
      <c r="A64" s="3"/>
      <c r="B64" s="3"/>
      <c r="C64" s="3"/>
      <c r="M64" s="11"/>
    </row>
    <row r="65" spans="1:16" ht="12.75" customHeight="1" x14ac:dyDescent="0.2">
      <c r="A65" s="3"/>
      <c r="B65" s="3"/>
      <c r="C65" s="3"/>
      <c r="G65" s="3"/>
    </row>
    <row r="66" spans="1:16" ht="12.75" customHeight="1" x14ac:dyDescent="0.2">
      <c r="C66" s="3"/>
      <c r="D66" s="3"/>
      <c r="E66" s="3"/>
      <c r="F66" s="3"/>
      <c r="G66" s="3"/>
    </row>
    <row r="67" spans="1:16" ht="15" customHeight="1" x14ac:dyDescent="0.2">
      <c r="A67" s="144" t="s">
        <v>274</v>
      </c>
      <c r="B67" s="145"/>
      <c r="C67" s="145"/>
      <c r="D67" s="145"/>
      <c r="E67" s="145"/>
      <c r="F67" s="145"/>
      <c r="G67" s="146"/>
    </row>
    <row r="68" spans="1:16" x14ac:dyDescent="0.2">
      <c r="A68" s="147" t="s">
        <v>61</v>
      </c>
      <c r="B68" s="148"/>
      <c r="C68" s="148"/>
      <c r="D68" s="148"/>
      <c r="E68" s="148"/>
      <c r="F68" s="148"/>
      <c r="G68" s="149"/>
    </row>
    <row r="69" spans="1:16" x14ac:dyDescent="0.2">
      <c r="A69" s="4" t="s">
        <v>62</v>
      </c>
      <c r="B69" s="111" t="s">
        <v>268</v>
      </c>
      <c r="C69" s="111" t="s">
        <v>269</v>
      </c>
      <c r="D69" s="111" t="s">
        <v>270</v>
      </c>
      <c r="E69" s="111" t="s">
        <v>271</v>
      </c>
      <c r="F69" s="111" t="s">
        <v>272</v>
      </c>
      <c r="G69" s="4"/>
      <c r="I69" s="15"/>
      <c r="J69" s="15"/>
      <c r="K69" s="15"/>
      <c r="L69" s="15"/>
      <c r="M69" s="15"/>
    </row>
    <row r="70" spans="1:16" ht="22.5" x14ac:dyDescent="0.2">
      <c r="A70" s="21" t="s">
        <v>63</v>
      </c>
      <c r="B70" s="21" t="s">
        <v>273</v>
      </c>
      <c r="C70" s="21" t="s">
        <v>64</v>
      </c>
      <c r="D70" s="21" t="s">
        <v>65</v>
      </c>
      <c r="E70" s="21" t="s">
        <v>66</v>
      </c>
      <c r="F70" s="21" t="s">
        <v>67</v>
      </c>
      <c r="G70" s="4" t="s">
        <v>68</v>
      </c>
    </row>
    <row r="71" spans="1:16" ht="14.25" x14ac:dyDescent="0.2">
      <c r="A71" s="4" t="s">
        <v>69</v>
      </c>
      <c r="B71" s="4">
        <v>59</v>
      </c>
      <c r="C71" s="4">
        <v>92</v>
      </c>
      <c r="D71" s="4">
        <v>92</v>
      </c>
      <c r="E71" s="4">
        <v>61</v>
      </c>
      <c r="F71" s="4">
        <v>61</v>
      </c>
      <c r="G71" s="4">
        <f>B71+C71+D71+E71+F71</f>
        <v>365</v>
      </c>
      <c r="I71" s="140" t="s">
        <v>262</v>
      </c>
      <c r="J71" s="140" t="s">
        <v>70</v>
      </c>
      <c r="K71" s="140" t="s">
        <v>263</v>
      </c>
      <c r="L71" s="140" t="s">
        <v>71</v>
      </c>
      <c r="M71" s="141" t="s">
        <v>228</v>
      </c>
      <c r="N71" s="140" t="s">
        <v>68</v>
      </c>
    </row>
    <row r="72" spans="1:16" x14ac:dyDescent="0.2">
      <c r="A72" s="4">
        <v>30</v>
      </c>
      <c r="B72" s="5">
        <f t="shared" ref="B72:E72" si="6">$G$72*B71/$G$71</f>
        <v>1116.746245479452</v>
      </c>
      <c r="C72" s="5">
        <f t="shared" si="6"/>
        <v>1741.3670268493149</v>
      </c>
      <c r="D72" s="5">
        <f t="shared" si="6"/>
        <v>1741.3670268493149</v>
      </c>
      <c r="E72" s="5">
        <f t="shared" si="6"/>
        <v>1154.6020504109588</v>
      </c>
      <c r="F72" s="5">
        <f>$G$72*F71/$G$71</f>
        <v>1154.6020504109588</v>
      </c>
      <c r="G72" s="5">
        <v>6908.6844000000001</v>
      </c>
      <c r="I72" s="142">
        <v>948.84479999999996</v>
      </c>
      <c r="J72" s="143">
        <v>1274.9898000000001</v>
      </c>
      <c r="K72" s="143">
        <v>2461.0152000000003</v>
      </c>
      <c r="L72" s="143">
        <v>1482.5495999999998</v>
      </c>
      <c r="M72" s="143">
        <v>741.28499999999997</v>
      </c>
      <c r="N72" s="143">
        <v>6908.6844000000001</v>
      </c>
      <c r="P72" s="11"/>
    </row>
    <row r="73" spans="1:16" x14ac:dyDescent="0.2">
      <c r="A73" s="4">
        <v>29</v>
      </c>
      <c r="B73" s="5">
        <f t="shared" ref="B73:E73" si="7">$G$72*B71/$G$71</f>
        <v>1116.746245479452</v>
      </c>
      <c r="C73" s="5">
        <f t="shared" si="7"/>
        <v>1741.3670268493149</v>
      </c>
      <c r="D73" s="5">
        <f t="shared" si="7"/>
        <v>1741.3670268493149</v>
      </c>
      <c r="E73" s="5">
        <f t="shared" si="7"/>
        <v>1154.6020504109588</v>
      </c>
      <c r="F73" s="5">
        <f>$G$72*F71/$G$71</f>
        <v>1154.6020504109588</v>
      </c>
      <c r="G73" s="5">
        <v>6908.6844000000001</v>
      </c>
      <c r="H73" s="11"/>
      <c r="I73" s="142">
        <v>948.84479999999996</v>
      </c>
      <c r="J73" s="143">
        <v>1274.9898000000001</v>
      </c>
      <c r="K73" s="143">
        <v>2461.0152000000003</v>
      </c>
      <c r="L73" s="143">
        <v>1482.5495999999998</v>
      </c>
      <c r="M73" s="143">
        <v>741.28499999999997</v>
      </c>
      <c r="N73" s="143">
        <v>6908.6844000000001</v>
      </c>
      <c r="P73" s="11"/>
    </row>
    <row r="74" spans="1:16" x14ac:dyDescent="0.2">
      <c r="A74" s="4">
        <v>28</v>
      </c>
      <c r="B74" s="5">
        <f t="shared" ref="B74:E74" si="8">$G$72*B71/$G$71</f>
        <v>1116.746245479452</v>
      </c>
      <c r="C74" s="5">
        <f t="shared" si="8"/>
        <v>1741.3670268493149</v>
      </c>
      <c r="D74" s="5">
        <f t="shared" si="8"/>
        <v>1741.3670268493149</v>
      </c>
      <c r="E74" s="5">
        <f t="shared" si="8"/>
        <v>1154.6020504109588</v>
      </c>
      <c r="F74" s="5">
        <f>$G$72*F71/$G$71</f>
        <v>1154.6020504109588</v>
      </c>
      <c r="G74" s="5">
        <v>6908.6844000000001</v>
      </c>
      <c r="H74" s="11"/>
      <c r="I74" s="143">
        <v>948.84479999999996</v>
      </c>
      <c r="J74" s="143">
        <v>1274.9898000000001</v>
      </c>
      <c r="K74" s="143">
        <v>2461.0152000000003</v>
      </c>
      <c r="L74" s="143">
        <v>1482.5495999999998</v>
      </c>
      <c r="M74" s="143">
        <v>741.28499999999997</v>
      </c>
      <c r="N74" s="143">
        <v>6908.6844000000001</v>
      </c>
      <c r="P74" s="11"/>
    </row>
    <row r="75" spans="1:16" x14ac:dyDescent="0.2">
      <c r="A75" s="4">
        <v>27</v>
      </c>
      <c r="B75" s="5">
        <f t="shared" ref="B75:E75" si="9">$G$75*B71/$G$71</f>
        <v>957.52645315068492</v>
      </c>
      <c r="C75" s="5">
        <f t="shared" si="9"/>
        <v>1493.0920964383561</v>
      </c>
      <c r="D75" s="5">
        <f t="shared" si="9"/>
        <v>1493.0920964383561</v>
      </c>
      <c r="E75" s="5">
        <f t="shared" si="9"/>
        <v>989.98497698630126</v>
      </c>
      <c r="F75" s="5">
        <f>$G$75*F71/$G$71</f>
        <v>989.98497698630126</v>
      </c>
      <c r="G75" s="5">
        <v>5923.6805999999997</v>
      </c>
      <c r="H75" s="11"/>
      <c r="I75" s="143">
        <v>948.84479999999996</v>
      </c>
      <c r="J75" s="143">
        <v>1165.8804</v>
      </c>
      <c r="K75" s="143">
        <v>1914.2646</v>
      </c>
      <c r="L75" s="143">
        <v>1263.1271999999999</v>
      </c>
      <c r="M75" s="143">
        <v>631.56359999999995</v>
      </c>
      <c r="N75" s="143">
        <v>5923.6805999999997</v>
      </c>
      <c r="P75" s="11"/>
    </row>
    <row r="76" spans="1:16" x14ac:dyDescent="0.2">
      <c r="A76" s="4">
        <v>26</v>
      </c>
      <c r="B76" s="5">
        <f t="shared" ref="B76:E76" si="10">$G$75*B71/$G$71</f>
        <v>957.52645315068492</v>
      </c>
      <c r="C76" s="5">
        <f t="shared" si="10"/>
        <v>1493.0920964383561</v>
      </c>
      <c r="D76" s="5">
        <f t="shared" si="10"/>
        <v>1493.0920964383561</v>
      </c>
      <c r="E76" s="5">
        <f t="shared" si="10"/>
        <v>989.98497698630126</v>
      </c>
      <c r="F76" s="5">
        <f>$G$75*F71/$G$71</f>
        <v>989.98497698630126</v>
      </c>
      <c r="G76" s="5">
        <v>5923.6805999999997</v>
      </c>
      <c r="H76" s="11"/>
      <c r="I76" s="143">
        <v>948.84479999999996</v>
      </c>
      <c r="J76" s="143">
        <v>1165.8804</v>
      </c>
      <c r="K76" s="143">
        <v>1914.2646</v>
      </c>
      <c r="L76" s="143">
        <v>1263.1271999999999</v>
      </c>
      <c r="M76" s="143">
        <v>631.56359999999995</v>
      </c>
      <c r="N76" s="143">
        <v>5923.6805999999997</v>
      </c>
      <c r="P76" s="11"/>
    </row>
    <row r="77" spans="1:16" x14ac:dyDescent="0.2">
      <c r="A77" s="4">
        <v>25</v>
      </c>
      <c r="B77" s="5">
        <f t="shared" ref="B77:E77" si="11">$G$77*B71/$G$71</f>
        <v>777.06229643835604</v>
      </c>
      <c r="C77" s="5">
        <f t="shared" si="11"/>
        <v>1211.6903605479451</v>
      </c>
      <c r="D77" s="5">
        <f t="shared" si="11"/>
        <v>1211.6903605479451</v>
      </c>
      <c r="E77" s="5">
        <f t="shared" si="11"/>
        <v>803.40339123287674</v>
      </c>
      <c r="F77" s="5">
        <f>$G$77*F71/$G$71</f>
        <v>803.40339123287674</v>
      </c>
      <c r="G77" s="5">
        <v>4807.2497999999996</v>
      </c>
      <c r="H77" s="11"/>
      <c r="I77" s="143">
        <v>948.84479999999996</v>
      </c>
      <c r="J77" s="143">
        <v>1017.6030000000001</v>
      </c>
      <c r="K77" s="143">
        <v>1164.6768</v>
      </c>
      <c r="L77" s="143">
        <v>1117.4202</v>
      </c>
      <c r="M77" s="143">
        <v>558.70500000000004</v>
      </c>
      <c r="N77" s="143">
        <v>4807.2497999999996</v>
      </c>
      <c r="P77" s="11"/>
    </row>
    <row r="78" spans="1:16" x14ac:dyDescent="0.2">
      <c r="A78" s="4">
        <v>24</v>
      </c>
      <c r="B78" s="5">
        <f t="shared" ref="B78:E78" si="12">$G$77*B71/$G$71</f>
        <v>777.06229643835604</v>
      </c>
      <c r="C78" s="5">
        <f t="shared" si="12"/>
        <v>1211.6903605479451</v>
      </c>
      <c r="D78" s="5">
        <f t="shared" si="12"/>
        <v>1211.6903605479451</v>
      </c>
      <c r="E78" s="5">
        <f t="shared" si="12"/>
        <v>803.40339123287674</v>
      </c>
      <c r="F78" s="5">
        <f>$G$77*F71/$G$71</f>
        <v>803.40339123287674</v>
      </c>
      <c r="G78" s="5">
        <v>4807.2497999999996</v>
      </c>
      <c r="H78" s="11"/>
      <c r="I78" s="143">
        <v>948.84479999999996</v>
      </c>
      <c r="J78" s="143">
        <v>1017.6030000000001</v>
      </c>
      <c r="K78" s="143">
        <v>1164.6768</v>
      </c>
      <c r="L78" s="143">
        <v>1117.4202</v>
      </c>
      <c r="M78" s="143">
        <v>558.70500000000004</v>
      </c>
      <c r="N78" s="143">
        <v>4807.2497999999996</v>
      </c>
      <c r="P78" s="11"/>
    </row>
    <row r="79" spans="1:16" x14ac:dyDescent="0.2">
      <c r="A79" s="4">
        <v>23</v>
      </c>
      <c r="B79" s="5">
        <f t="shared" ref="B79:E79" si="13">$G$79*B71/$G$71</f>
        <v>698.3254224657536</v>
      </c>
      <c r="C79" s="5">
        <f t="shared" si="13"/>
        <v>1088.9142180821921</v>
      </c>
      <c r="D79" s="5">
        <f t="shared" si="13"/>
        <v>1088.9142180821921</v>
      </c>
      <c r="E79" s="5">
        <f t="shared" si="13"/>
        <v>721.99747068493161</v>
      </c>
      <c r="F79" s="5">
        <f>$G$79*F71/$G$71</f>
        <v>721.99747068493161</v>
      </c>
      <c r="G79" s="5">
        <v>4320.1488000000008</v>
      </c>
      <c r="H79" s="11"/>
      <c r="I79" s="143">
        <v>948.84479999999996</v>
      </c>
      <c r="J79" s="143">
        <v>987.97199999999998</v>
      </c>
      <c r="K79" s="143">
        <v>1022.3358000000001</v>
      </c>
      <c r="L79" s="143">
        <v>907.33080000000007</v>
      </c>
      <c r="M79" s="143">
        <v>453.66540000000003</v>
      </c>
      <c r="N79" s="143">
        <v>4320.1488000000008</v>
      </c>
      <c r="P79" s="11"/>
    </row>
    <row r="80" spans="1:16" x14ac:dyDescent="0.2">
      <c r="A80" s="4">
        <v>22</v>
      </c>
      <c r="B80" s="5">
        <f t="shared" ref="B80:E80" si="14">$G$79*B71/$G$71</f>
        <v>698.3254224657536</v>
      </c>
      <c r="C80" s="5">
        <f t="shared" si="14"/>
        <v>1088.9142180821921</v>
      </c>
      <c r="D80" s="5">
        <f t="shared" si="14"/>
        <v>1088.9142180821921</v>
      </c>
      <c r="E80" s="5">
        <f t="shared" si="14"/>
        <v>721.99747068493161</v>
      </c>
      <c r="F80" s="5">
        <f>$G$79*F71/$G$71</f>
        <v>721.99747068493161</v>
      </c>
      <c r="G80" s="5">
        <v>4320.1488000000008</v>
      </c>
      <c r="H80" s="11"/>
      <c r="I80" s="143">
        <v>948.84479999999996</v>
      </c>
      <c r="J80" s="143">
        <v>987.97199999999998</v>
      </c>
      <c r="K80" s="143">
        <v>1022.3358000000001</v>
      </c>
      <c r="L80" s="143">
        <v>907.33080000000007</v>
      </c>
      <c r="M80" s="143">
        <v>453.66540000000003</v>
      </c>
      <c r="N80" s="143">
        <v>4320.1488000000008</v>
      </c>
      <c r="P80" s="11"/>
    </row>
    <row r="81" spans="1:16" x14ac:dyDescent="0.2">
      <c r="A81" s="4">
        <v>21</v>
      </c>
      <c r="B81" s="5">
        <f t="shared" ref="B81:E81" si="15">$G$79*B71/$G$71</f>
        <v>698.3254224657536</v>
      </c>
      <c r="C81" s="5">
        <f t="shared" si="15"/>
        <v>1088.9142180821921</v>
      </c>
      <c r="D81" s="5">
        <f t="shared" si="15"/>
        <v>1088.9142180821921</v>
      </c>
      <c r="E81" s="5">
        <f t="shared" si="15"/>
        <v>721.99747068493161</v>
      </c>
      <c r="F81" s="5">
        <f>$G$79*F71/$G$71</f>
        <v>721.99747068493161</v>
      </c>
      <c r="G81" s="5">
        <v>4320.1488000000008</v>
      </c>
      <c r="H81" s="11"/>
      <c r="I81" s="143">
        <v>948.84479999999996</v>
      </c>
      <c r="J81" s="143">
        <v>987.97199999999998</v>
      </c>
      <c r="K81" s="143">
        <v>1022.3358000000001</v>
      </c>
      <c r="L81" s="143">
        <v>907.33080000000007</v>
      </c>
      <c r="M81" s="143">
        <v>453.66540000000003</v>
      </c>
      <c r="N81" s="143">
        <v>4320.1488000000008</v>
      </c>
      <c r="P81" s="11"/>
    </row>
    <row r="82" spans="1:16" x14ac:dyDescent="0.2">
      <c r="A82" s="4">
        <v>20</v>
      </c>
      <c r="B82" s="5">
        <f t="shared" ref="B82:E82" si="16">$G$82*B71/$G$71</f>
        <v>608.69844164383562</v>
      </c>
      <c r="C82" s="5">
        <f t="shared" si="16"/>
        <v>949.15689205479453</v>
      </c>
      <c r="D82" s="5">
        <f t="shared" si="16"/>
        <v>949.15689205479453</v>
      </c>
      <c r="E82" s="5">
        <f t="shared" si="16"/>
        <v>629.33228712328764</v>
      </c>
      <c r="F82" s="5">
        <f>$G$82*F71/$G$71</f>
        <v>629.33228712328764</v>
      </c>
      <c r="G82" s="5">
        <v>3765.6767999999997</v>
      </c>
      <c r="H82" s="11"/>
      <c r="I82" s="143">
        <v>948.84479999999996</v>
      </c>
      <c r="J82" s="143">
        <v>890.71500000000003</v>
      </c>
      <c r="K82" s="143">
        <v>591.84480000000008</v>
      </c>
      <c r="L82" s="143">
        <v>889.51139999999998</v>
      </c>
      <c r="M82" s="143">
        <v>444.76080000000002</v>
      </c>
      <c r="N82" s="143">
        <v>3765.6767999999997</v>
      </c>
      <c r="P82" s="11"/>
    </row>
    <row r="83" spans="1:16" x14ac:dyDescent="0.2">
      <c r="A83" s="4">
        <v>19</v>
      </c>
      <c r="B83" s="5">
        <f t="shared" ref="B83:E83" si="17">$G$82*B71/$G$71</f>
        <v>608.69844164383562</v>
      </c>
      <c r="C83" s="5">
        <f t="shared" si="17"/>
        <v>949.15689205479453</v>
      </c>
      <c r="D83" s="5">
        <f t="shared" si="17"/>
        <v>949.15689205479453</v>
      </c>
      <c r="E83" s="5">
        <f t="shared" si="17"/>
        <v>629.33228712328764</v>
      </c>
      <c r="F83" s="5">
        <f>$G$82*F71/$G$71</f>
        <v>629.33228712328764</v>
      </c>
      <c r="G83" s="5">
        <v>3765.6767999999997</v>
      </c>
      <c r="H83" s="11"/>
      <c r="I83" s="143">
        <v>948.84479999999996</v>
      </c>
      <c r="J83" s="143">
        <v>890.71500000000003</v>
      </c>
      <c r="K83" s="143">
        <v>591.84480000000008</v>
      </c>
      <c r="L83" s="143">
        <v>889.51139999999998</v>
      </c>
      <c r="M83" s="143">
        <v>444.76080000000002</v>
      </c>
      <c r="N83" s="143">
        <v>3765.6767999999997</v>
      </c>
      <c r="P83" s="11"/>
    </row>
    <row r="84" spans="1:16" x14ac:dyDescent="0.2">
      <c r="A84" s="4">
        <v>18</v>
      </c>
      <c r="B84" s="5">
        <f t="shared" ref="B84:E84" si="18">$G$84*B71/$G$71</f>
        <v>560.76878136986306</v>
      </c>
      <c r="C84" s="5">
        <f t="shared" si="18"/>
        <v>874.4191167123289</v>
      </c>
      <c r="D84" s="5">
        <f t="shared" si="18"/>
        <v>874.4191167123289</v>
      </c>
      <c r="E84" s="5">
        <f t="shared" si="18"/>
        <v>579.77789260273983</v>
      </c>
      <c r="F84" s="5">
        <f>$G$84*F71/$G$71</f>
        <v>579.77789260273983</v>
      </c>
      <c r="G84" s="5">
        <v>3469.1628000000005</v>
      </c>
      <c r="H84" s="11"/>
      <c r="I84" s="143">
        <v>948.84479999999996</v>
      </c>
      <c r="J84" s="143">
        <v>859.87020000000007</v>
      </c>
      <c r="K84" s="143">
        <v>504.07379999999995</v>
      </c>
      <c r="L84" s="143">
        <v>770.91599999999994</v>
      </c>
      <c r="M84" s="143">
        <v>385.45799999999997</v>
      </c>
      <c r="N84" s="143">
        <v>3469.1628000000005</v>
      </c>
      <c r="P84" s="11"/>
    </row>
    <row r="85" spans="1:16" x14ac:dyDescent="0.2">
      <c r="A85" s="4">
        <v>17</v>
      </c>
      <c r="B85" s="5">
        <f t="shared" ref="B85:E85" si="19">$G$84*B71/$G$71</f>
        <v>560.76878136986306</v>
      </c>
      <c r="C85" s="5">
        <f t="shared" si="19"/>
        <v>874.4191167123289</v>
      </c>
      <c r="D85" s="5">
        <f t="shared" si="19"/>
        <v>874.4191167123289</v>
      </c>
      <c r="E85" s="5">
        <f t="shared" si="19"/>
        <v>579.77789260273983</v>
      </c>
      <c r="F85" s="5">
        <f>$G$84*F71/$G$71</f>
        <v>579.77789260273983</v>
      </c>
      <c r="G85" s="5">
        <v>3469.1628000000005</v>
      </c>
      <c r="H85" s="11"/>
      <c r="I85" s="143">
        <v>948.84479999999996</v>
      </c>
      <c r="J85" s="143">
        <v>859.87020000000007</v>
      </c>
      <c r="K85" s="143">
        <v>504.07379999999995</v>
      </c>
      <c r="L85" s="143">
        <v>770.91599999999994</v>
      </c>
      <c r="M85" s="143">
        <v>385.45799999999997</v>
      </c>
      <c r="N85" s="143">
        <v>3469.1628000000005</v>
      </c>
      <c r="P85" s="11"/>
    </row>
    <row r="86" spans="1:16" x14ac:dyDescent="0.2">
      <c r="A86" s="4">
        <v>16</v>
      </c>
      <c r="B86" s="5">
        <f t="shared" ref="B86:E86" si="20">$G$84*B71/$G$71</f>
        <v>560.76878136986306</v>
      </c>
      <c r="C86" s="5">
        <f t="shared" si="20"/>
        <v>874.4191167123289</v>
      </c>
      <c r="D86" s="5">
        <f t="shared" si="20"/>
        <v>874.4191167123289</v>
      </c>
      <c r="E86" s="5">
        <f t="shared" si="20"/>
        <v>579.77789260273983</v>
      </c>
      <c r="F86" s="5">
        <f>$G$84*F71/$G$71</f>
        <v>579.77789260273983</v>
      </c>
      <c r="G86" s="5">
        <v>3469.1628000000005</v>
      </c>
      <c r="H86" s="11"/>
      <c r="I86" s="143">
        <v>948.84479999999996</v>
      </c>
      <c r="J86" s="143">
        <v>859.87020000000007</v>
      </c>
      <c r="K86" s="143">
        <v>504.07379999999995</v>
      </c>
      <c r="L86" s="143">
        <v>770.91599999999994</v>
      </c>
      <c r="M86" s="143">
        <v>385.45799999999997</v>
      </c>
      <c r="N86" s="143">
        <v>3469.1628000000005</v>
      </c>
      <c r="P86" s="11"/>
    </row>
    <row r="87" spans="1:16" x14ac:dyDescent="0.2">
      <c r="A87" s="4">
        <v>15</v>
      </c>
      <c r="B87" s="5">
        <f t="shared" ref="B87:E87" si="21">$G$84*B71/$G$71</f>
        <v>560.76878136986306</v>
      </c>
      <c r="C87" s="5">
        <f t="shared" si="21"/>
        <v>874.4191167123289</v>
      </c>
      <c r="D87" s="5">
        <f t="shared" si="21"/>
        <v>874.4191167123289</v>
      </c>
      <c r="E87" s="5">
        <f t="shared" si="21"/>
        <v>579.77789260273983</v>
      </c>
      <c r="F87" s="5">
        <f>$G$84*F71/$G$71</f>
        <v>579.77789260273983</v>
      </c>
      <c r="G87" s="5">
        <v>3469.1628000000005</v>
      </c>
      <c r="H87" s="11"/>
      <c r="I87" s="143">
        <v>948.84479999999996</v>
      </c>
      <c r="J87" s="143">
        <v>859.87020000000007</v>
      </c>
      <c r="K87" s="143">
        <v>504.07379999999995</v>
      </c>
      <c r="L87" s="143">
        <v>770.91599999999994</v>
      </c>
      <c r="M87" s="143">
        <v>385.45799999999997</v>
      </c>
      <c r="N87" s="143">
        <v>3469.1628000000005</v>
      </c>
      <c r="P87" s="11"/>
    </row>
    <row r="88" spans="1:16" x14ac:dyDescent="0.2">
      <c r="A88" s="3"/>
      <c r="B88" s="3"/>
      <c r="C88" s="3"/>
      <c r="D88" s="3"/>
      <c r="E88" s="3"/>
      <c r="F88" s="3"/>
      <c r="G88" s="3"/>
    </row>
    <row r="89" spans="1:16" x14ac:dyDescent="0.2">
      <c r="C89" s="3"/>
      <c r="D89" s="3"/>
      <c r="E89" s="3"/>
      <c r="F89" s="3"/>
      <c r="G89" s="3"/>
    </row>
    <row r="90" spans="1:16" ht="16.149999999999999" customHeight="1" x14ac:dyDescent="0.2"/>
    <row r="91" spans="1:16" ht="16.149999999999999" customHeight="1" x14ac:dyDescent="0.2">
      <c r="B91" s="38"/>
      <c r="C91" s="38"/>
      <c r="D91" s="38"/>
      <c r="E91" s="38"/>
      <c r="F91" s="38"/>
      <c r="G91" s="38"/>
      <c r="I91" s="11"/>
      <c r="J91" s="11"/>
      <c r="K91" s="11"/>
      <c r="L91" s="11"/>
      <c r="M91" s="11"/>
      <c r="N91" s="11"/>
    </row>
    <row r="92" spans="1:16" x14ac:dyDescent="0.2">
      <c r="B92" s="11"/>
      <c r="C92" s="11"/>
      <c r="D92" s="11"/>
      <c r="E92" s="22"/>
      <c r="F92" s="38"/>
      <c r="G92" s="38"/>
      <c r="I92" s="11"/>
      <c r="J92" s="11"/>
      <c r="K92" s="11"/>
      <c r="L92" s="11"/>
      <c r="M92" s="11"/>
      <c r="N92" s="11"/>
    </row>
    <row r="93" spans="1:16" x14ac:dyDescent="0.2">
      <c r="B93" s="38"/>
      <c r="C93" s="38"/>
      <c r="D93" s="38"/>
      <c r="E93" s="38"/>
      <c r="F93" s="38"/>
      <c r="G93" s="38"/>
      <c r="I93" s="11"/>
      <c r="J93" s="11"/>
      <c r="K93" s="11"/>
      <c r="L93" s="11"/>
      <c r="M93" s="11"/>
      <c r="N93" s="11"/>
    </row>
    <row r="94" spans="1:16" x14ac:dyDescent="0.2">
      <c r="B94" s="11"/>
      <c r="C94" s="11"/>
      <c r="D94" s="11"/>
      <c r="E94" s="22"/>
      <c r="F94" s="38"/>
      <c r="G94" s="38"/>
      <c r="I94" s="11"/>
      <c r="J94" s="11"/>
      <c r="K94" s="11"/>
      <c r="L94" s="11"/>
      <c r="M94" s="11"/>
      <c r="N94" s="11"/>
    </row>
    <row r="95" spans="1:16" x14ac:dyDescent="0.2">
      <c r="B95" s="38"/>
      <c r="C95" s="38"/>
      <c r="D95" s="38"/>
      <c r="E95" s="38"/>
      <c r="F95" s="38"/>
      <c r="G95" s="38"/>
      <c r="I95" s="11"/>
      <c r="J95" s="11"/>
      <c r="K95" s="11"/>
      <c r="L95" s="11"/>
      <c r="M95" s="11"/>
      <c r="N95" s="11"/>
    </row>
    <row r="96" spans="1:16" x14ac:dyDescent="0.2">
      <c r="B96" s="11"/>
      <c r="C96" s="11"/>
      <c r="D96" s="11"/>
      <c r="E96" s="22"/>
      <c r="F96" s="38"/>
      <c r="G96" s="38"/>
      <c r="I96" s="11"/>
      <c r="J96" s="11"/>
      <c r="K96" s="11"/>
      <c r="L96" s="11"/>
      <c r="M96" s="11"/>
      <c r="N96" s="11"/>
    </row>
    <row r="97" spans="1:14" x14ac:dyDescent="0.2">
      <c r="B97" s="38"/>
      <c r="C97" s="38"/>
      <c r="D97" s="38"/>
      <c r="E97" s="38"/>
      <c r="F97" s="38"/>
      <c r="G97" s="38"/>
      <c r="I97" s="11"/>
      <c r="J97" s="11"/>
      <c r="K97" s="11"/>
      <c r="L97" s="11"/>
      <c r="M97" s="11"/>
      <c r="N97" s="11"/>
    </row>
    <row r="98" spans="1:14" x14ac:dyDescent="0.2">
      <c r="B98" s="11"/>
      <c r="C98" s="11"/>
      <c r="D98" s="11"/>
      <c r="E98" s="22"/>
      <c r="F98" s="38"/>
      <c r="G98" s="38"/>
      <c r="I98" s="11"/>
      <c r="J98" s="11"/>
      <c r="K98" s="11"/>
      <c r="L98" s="11"/>
      <c r="M98" s="11"/>
      <c r="N98" s="11"/>
    </row>
    <row r="99" spans="1:14" x14ac:dyDescent="0.2">
      <c r="B99" s="38"/>
      <c r="C99" s="38"/>
      <c r="D99" s="38"/>
      <c r="E99" s="38"/>
      <c r="F99" s="38"/>
      <c r="G99" s="11"/>
      <c r="I99" s="11"/>
      <c r="J99" s="11"/>
      <c r="K99" s="11"/>
      <c r="L99" s="11"/>
      <c r="M99" s="11"/>
      <c r="N99" s="11"/>
    </row>
    <row r="100" spans="1:14" x14ac:dyDescent="0.2">
      <c r="B100" s="11"/>
      <c r="C100" s="11"/>
      <c r="D100" s="11"/>
      <c r="E100" s="22"/>
      <c r="F100" s="38"/>
      <c r="G100" s="11"/>
      <c r="I100" s="11"/>
      <c r="J100" s="11"/>
      <c r="K100" s="11"/>
      <c r="L100" s="11"/>
      <c r="M100" s="11"/>
      <c r="N100" s="11"/>
    </row>
    <row r="101" spans="1:14" x14ac:dyDescent="0.2">
      <c r="B101" s="38"/>
      <c r="C101" s="38"/>
      <c r="D101" s="38"/>
      <c r="E101" s="38"/>
      <c r="F101" s="38"/>
      <c r="G101" s="11"/>
      <c r="I101" s="11"/>
      <c r="J101" s="11"/>
      <c r="K101" s="11"/>
      <c r="L101" s="11"/>
      <c r="M101" s="11"/>
      <c r="N101" s="11"/>
    </row>
    <row r="102" spans="1:14" x14ac:dyDescent="0.2">
      <c r="B102" s="11"/>
      <c r="C102" s="11"/>
      <c r="D102" s="11"/>
      <c r="E102" s="22"/>
      <c r="F102" s="38"/>
      <c r="G102" s="11"/>
      <c r="I102" s="11"/>
      <c r="J102" s="11"/>
      <c r="K102" s="11"/>
      <c r="L102" s="11"/>
      <c r="M102" s="11"/>
      <c r="N102" s="11"/>
    </row>
    <row r="103" spans="1:14" x14ac:dyDescent="0.2">
      <c r="B103" s="11"/>
      <c r="C103" s="11"/>
      <c r="D103" s="11"/>
      <c r="E103" s="22"/>
      <c r="F103" s="38"/>
      <c r="G103" s="11"/>
      <c r="I103" s="11"/>
      <c r="J103" s="11"/>
      <c r="K103" s="11"/>
      <c r="L103" s="11"/>
      <c r="M103" s="11"/>
      <c r="N103" s="11"/>
    </row>
    <row r="104" spans="1:14" x14ac:dyDescent="0.2">
      <c r="A104" s="25"/>
      <c r="B104" s="11"/>
      <c r="C104" s="11"/>
      <c r="D104" s="11"/>
      <c r="E104" s="22"/>
      <c r="F104" s="38"/>
      <c r="G104" s="11"/>
      <c r="I104" s="11"/>
      <c r="J104" s="11"/>
      <c r="K104" s="11"/>
      <c r="L104" s="11"/>
      <c r="M104" s="11"/>
      <c r="N104" s="11"/>
    </row>
    <row r="105" spans="1:14" x14ac:dyDescent="0.2">
      <c r="A105" s="25"/>
      <c r="B105" s="11"/>
      <c r="C105" s="11"/>
      <c r="D105" s="11"/>
      <c r="E105" s="22"/>
      <c r="F105" s="38"/>
      <c r="G105" s="11"/>
      <c r="I105" s="11"/>
      <c r="J105" s="11"/>
      <c r="K105" s="11"/>
      <c r="L105" s="11"/>
      <c r="M105" s="11"/>
      <c r="N105" s="11"/>
    </row>
    <row r="106" spans="1:14" x14ac:dyDescent="0.2">
      <c r="A106" s="25"/>
      <c r="B106" s="11"/>
      <c r="C106" s="11"/>
      <c r="D106" s="11"/>
      <c r="E106" s="22"/>
      <c r="F106" s="38"/>
      <c r="G106" s="11"/>
      <c r="I106" s="11"/>
      <c r="J106" s="11"/>
      <c r="K106" s="11"/>
      <c r="L106" s="11"/>
      <c r="M106" s="11"/>
      <c r="N106" s="11"/>
    </row>
    <row r="107" spans="1:14" x14ac:dyDescent="0.2">
      <c r="A107" s="25"/>
    </row>
    <row r="108" spans="1:14" x14ac:dyDescent="0.2">
      <c r="A108" s="25"/>
    </row>
    <row r="109" spans="1:14" x14ac:dyDescent="0.2">
      <c r="A109" s="25"/>
    </row>
    <row r="111" spans="1:14" x14ac:dyDescent="0.2">
      <c r="E111" s="25"/>
    </row>
  </sheetData>
  <sheetProtection algorithmName="SHA-512" hashValue="iYnX3V58fLRO7x038fkRL9kRO9d53DMrOH3dfEiRnoqXgltjrISGb5hZNnmQ5fpAzzgE5+sx5+Y/dcAHjKRSiA==" saltValue="Fcwaw/+JPxqw4dC+RiFV9A==" spinCount="100000" sheet="1" objects="1" scenarios="1" formatCells="0"/>
  <mergeCells count="9">
    <mergeCell ref="A67:G67"/>
    <mergeCell ref="A68:G68"/>
    <mergeCell ref="G32:H32"/>
    <mergeCell ref="G33:H33"/>
    <mergeCell ref="A2:A3"/>
    <mergeCell ref="B2:B3"/>
    <mergeCell ref="C2:C3"/>
    <mergeCell ref="D2:E2"/>
    <mergeCell ref="G22:H22"/>
  </mergeCells>
  <pageMargins left="0.23622047244094491" right="0.23622047244094491" top="0.74803149606299213" bottom="0.74803149606299213" header="0.31496062992125984" footer="0.31496062992125984"/>
  <pageSetup paperSize="8" fitToWidth="0" orientation="landscape" verticalDpi="300" r:id="rId1"/>
  <headerFooter alignWithMargins="0">
    <oddHeader>&amp;LUniversidad de Granada&amp;CRetribuciones PTGAS Funcionario  2024 
Real Decreto-ley 4/2024, de 26 de junio&amp;R&amp;D</oddHeader>
    <oddFooter>&amp;LServicio de Habilitación&amp;RPág.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69"/>
  <sheetViews>
    <sheetView tabSelected="1" zoomScale="120" zoomScaleNormal="120" workbookViewId="0">
      <pane xSplit="1" ySplit="3" topLeftCell="B19" activePane="bottomRight" state="frozen"/>
      <selection pane="topRight" activeCell="B1" sqref="B1"/>
      <selection pane="bottomLeft" activeCell="A4" sqref="A4"/>
      <selection pane="bottomRight" activeCell="G39" sqref="G39"/>
    </sheetView>
  </sheetViews>
  <sheetFormatPr baseColWidth="10" defaultColWidth="11.28515625" defaultRowHeight="14.1" customHeight="1" x14ac:dyDescent="0.2"/>
  <cols>
    <col min="1" max="1" width="40.42578125" style="92" customWidth="1"/>
    <col min="2" max="2" width="27.140625" style="108" customWidth="1"/>
    <col min="3" max="3" width="15.28515625" style="1" bestFit="1" customWidth="1"/>
    <col min="4" max="4" width="11.140625" style="100" bestFit="1" customWidth="1"/>
    <col min="5" max="5" width="12" style="107" customWidth="1"/>
    <col min="6" max="6" width="15.140625" style="108" customWidth="1"/>
    <col min="7" max="7" width="11.7109375" style="103" bestFit="1" customWidth="1"/>
    <col min="8" max="8" width="12.7109375" style="100" customWidth="1"/>
    <col min="9" max="9" width="7.7109375" style="100" customWidth="1"/>
    <col min="10" max="10" width="9.7109375" style="94" bestFit="1" customWidth="1"/>
    <col min="11" max="11" width="8.28515625" style="95" bestFit="1" customWidth="1"/>
    <col min="12" max="12" width="8.5703125" style="96" bestFit="1" customWidth="1"/>
    <col min="13" max="13" width="9.42578125" style="1" customWidth="1"/>
    <col min="14" max="14" width="8.85546875" style="1" customWidth="1"/>
    <col min="15" max="15" width="10.5703125" style="1" customWidth="1"/>
    <col min="16" max="16" width="11.28515625" style="1"/>
    <col min="17" max="17" width="12.140625" style="1" bestFit="1" customWidth="1"/>
    <col min="18" max="16384" width="11.28515625" style="1"/>
  </cols>
  <sheetData>
    <row r="1" spans="1:13" ht="14.1" customHeight="1" x14ac:dyDescent="0.2">
      <c r="A1" s="26" t="s">
        <v>83</v>
      </c>
      <c r="B1" s="27">
        <v>0</v>
      </c>
      <c r="C1" s="27">
        <v>0</v>
      </c>
      <c r="D1" s="27">
        <v>0</v>
      </c>
      <c r="E1" s="28"/>
      <c r="F1" s="29"/>
      <c r="G1" s="29"/>
      <c r="H1" s="29"/>
      <c r="I1" s="27">
        <v>0</v>
      </c>
      <c r="J1" s="28"/>
      <c r="K1" s="29"/>
      <c r="L1" s="29"/>
      <c r="M1" s="3"/>
    </row>
    <row r="2" spans="1:13" ht="14.1" customHeight="1" x14ac:dyDescent="0.2">
      <c r="A2" s="30" t="s">
        <v>84</v>
      </c>
      <c r="B2" s="31" t="s">
        <v>4</v>
      </c>
      <c r="C2" s="31" t="s">
        <v>85</v>
      </c>
      <c r="D2" s="31" t="s">
        <v>86</v>
      </c>
      <c r="E2" s="31" t="s">
        <v>68</v>
      </c>
      <c r="F2" s="31" t="s">
        <v>4</v>
      </c>
      <c r="G2" s="31" t="s">
        <v>85</v>
      </c>
      <c r="H2" s="31" t="s">
        <v>86</v>
      </c>
      <c r="I2" s="31" t="s">
        <v>87</v>
      </c>
      <c r="J2" s="31" t="s">
        <v>68</v>
      </c>
      <c r="K2" s="31" t="s">
        <v>88</v>
      </c>
      <c r="L2" s="31" t="s">
        <v>89</v>
      </c>
      <c r="M2" s="3"/>
    </row>
    <row r="3" spans="1:13" ht="14.1" customHeight="1" x14ac:dyDescent="0.2">
      <c r="A3" s="30" t="s">
        <v>90</v>
      </c>
      <c r="B3" s="31" t="s">
        <v>91</v>
      </c>
      <c r="C3" s="31" t="s">
        <v>91</v>
      </c>
      <c r="D3" s="31" t="s">
        <v>91</v>
      </c>
      <c r="E3" s="31" t="s">
        <v>91</v>
      </c>
      <c r="F3" s="31" t="s">
        <v>92</v>
      </c>
      <c r="G3" s="31" t="s">
        <v>92</v>
      </c>
      <c r="H3" s="31" t="s">
        <v>92</v>
      </c>
      <c r="I3" s="31" t="s">
        <v>92</v>
      </c>
      <c r="J3" s="31" t="s">
        <v>92</v>
      </c>
      <c r="K3" s="31">
        <v>2024</v>
      </c>
      <c r="L3" s="31" t="s">
        <v>93</v>
      </c>
      <c r="M3" s="3"/>
    </row>
    <row r="4" spans="1:13" ht="14.1" customHeight="1" x14ac:dyDescent="0.2">
      <c r="A4" s="32" t="s">
        <v>94</v>
      </c>
      <c r="B4" s="33">
        <f>$F$4/15</f>
        <v>1825.5014800000001</v>
      </c>
      <c r="C4" s="34">
        <f>$G$4/12</f>
        <v>1292.8551</v>
      </c>
      <c r="D4" s="36">
        <f>$H$4/12</f>
        <v>94.322499999999991</v>
      </c>
      <c r="E4" s="123">
        <f>$B4+C4+$D$4</f>
        <v>3212.6790799999999</v>
      </c>
      <c r="F4" s="34">
        <f>26845.61*102/100</f>
        <v>27382.522200000003</v>
      </c>
      <c r="G4" s="110">
        <f>15210.06*102/100</f>
        <v>15514.261199999999</v>
      </c>
      <c r="H4" s="36">
        <f>H90</f>
        <v>1131.8699999999999</v>
      </c>
      <c r="I4" s="34">
        <f>296.37*102/100</f>
        <v>302.29740000000004</v>
      </c>
      <c r="J4" s="34">
        <f>SUM($F$4:$I$4)</f>
        <v>44330.950800000006</v>
      </c>
      <c r="K4" s="124">
        <f>49.75*102/100</f>
        <v>50.744999999999997</v>
      </c>
      <c r="L4" s="34">
        <v>0</v>
      </c>
      <c r="M4" s="38"/>
    </row>
    <row r="5" spans="1:13" ht="14.1" customHeight="1" x14ac:dyDescent="0.2">
      <c r="A5" s="32" t="s">
        <v>95</v>
      </c>
      <c r="B5" s="33">
        <f t="shared" ref="B5:B13" si="0">$F$4/15</f>
        <v>1825.5014800000001</v>
      </c>
      <c r="C5" s="34">
        <f>$G$5/12</f>
        <v>1093.80465</v>
      </c>
      <c r="D5" s="36">
        <f t="shared" ref="D5:D13" si="1">$H$4/12</f>
        <v>94.322499999999991</v>
      </c>
      <c r="E5" s="123">
        <f t="shared" ref="E5:E13" si="2">$B5+C5+$D$4</f>
        <v>3013.6286300000002</v>
      </c>
      <c r="F5" s="34">
        <f>$F$4</f>
        <v>27382.522200000003</v>
      </c>
      <c r="G5" s="110">
        <f>12868.29*102/100</f>
        <v>13125.6558</v>
      </c>
      <c r="H5" s="36">
        <f t="shared" ref="H5:H13" si="3">$D$4*12</f>
        <v>1131.8699999999999</v>
      </c>
      <c r="I5" s="34">
        <f>$I$4</f>
        <v>302.29740000000004</v>
      </c>
      <c r="J5" s="34">
        <f>SUM($F$5:$I$5)</f>
        <v>41942.345400000006</v>
      </c>
      <c r="K5" s="17"/>
      <c r="L5" s="34"/>
      <c r="M5" s="3"/>
    </row>
    <row r="6" spans="1:13" ht="14.1" customHeight="1" x14ac:dyDescent="0.2">
      <c r="A6" s="32" t="s">
        <v>96</v>
      </c>
      <c r="B6" s="33">
        <f t="shared" si="0"/>
        <v>1825.5014800000001</v>
      </c>
      <c r="C6" s="34">
        <f t="shared" ref="C6:C12" si="4">$G$5/12</f>
        <v>1093.80465</v>
      </c>
      <c r="D6" s="36">
        <f t="shared" si="1"/>
        <v>94.322499999999991</v>
      </c>
      <c r="E6" s="123">
        <f t="shared" si="2"/>
        <v>3013.6286300000002</v>
      </c>
      <c r="F6" s="34">
        <f t="shared" ref="F6:F13" si="5">$F$4</f>
        <v>27382.522200000003</v>
      </c>
      <c r="G6" s="110">
        <f t="shared" ref="G6:G12" si="6">$C$5*12</f>
        <v>13125.6558</v>
      </c>
      <c r="H6" s="36">
        <f t="shared" si="3"/>
        <v>1131.8699999999999</v>
      </c>
      <c r="I6" s="34">
        <f t="shared" ref="I6:I13" si="7">$I$4</f>
        <v>302.29740000000004</v>
      </c>
      <c r="J6" s="34">
        <f t="shared" ref="J6:J12" si="8">SUM($F$5:$I$5)</f>
        <v>41942.345400000006</v>
      </c>
      <c r="K6" s="17"/>
      <c r="L6" s="34"/>
      <c r="M6" s="3"/>
    </row>
    <row r="7" spans="1:13" ht="14.1" customHeight="1" x14ac:dyDescent="0.2">
      <c r="A7" s="32" t="s">
        <v>97</v>
      </c>
      <c r="B7" s="33">
        <f t="shared" si="0"/>
        <v>1825.5014800000001</v>
      </c>
      <c r="C7" s="34">
        <f t="shared" si="4"/>
        <v>1093.80465</v>
      </c>
      <c r="D7" s="36">
        <f t="shared" si="1"/>
        <v>94.322499999999991</v>
      </c>
      <c r="E7" s="123">
        <f t="shared" si="2"/>
        <v>3013.6286300000002</v>
      </c>
      <c r="F7" s="34">
        <f t="shared" si="5"/>
        <v>27382.522200000003</v>
      </c>
      <c r="G7" s="110">
        <f t="shared" si="6"/>
        <v>13125.6558</v>
      </c>
      <c r="H7" s="36">
        <f t="shared" si="3"/>
        <v>1131.8699999999999</v>
      </c>
      <c r="I7" s="34">
        <f t="shared" si="7"/>
        <v>302.29740000000004</v>
      </c>
      <c r="J7" s="34">
        <f t="shared" si="8"/>
        <v>41942.345400000006</v>
      </c>
      <c r="K7" s="17"/>
      <c r="L7" s="34"/>
      <c r="M7" s="3"/>
    </row>
    <row r="8" spans="1:13" ht="14.1" customHeight="1" x14ac:dyDescent="0.2">
      <c r="A8" s="32" t="s">
        <v>98</v>
      </c>
      <c r="B8" s="33">
        <f t="shared" si="0"/>
        <v>1825.5014800000001</v>
      </c>
      <c r="C8" s="34">
        <f t="shared" si="4"/>
        <v>1093.80465</v>
      </c>
      <c r="D8" s="36">
        <f t="shared" si="1"/>
        <v>94.322499999999991</v>
      </c>
      <c r="E8" s="123">
        <f t="shared" si="2"/>
        <v>3013.6286300000002</v>
      </c>
      <c r="F8" s="34">
        <f t="shared" si="5"/>
        <v>27382.522200000003</v>
      </c>
      <c r="G8" s="110">
        <f t="shared" si="6"/>
        <v>13125.6558</v>
      </c>
      <c r="H8" s="36">
        <f t="shared" si="3"/>
        <v>1131.8699999999999</v>
      </c>
      <c r="I8" s="34">
        <f t="shared" si="7"/>
        <v>302.29740000000004</v>
      </c>
      <c r="J8" s="34">
        <f t="shared" si="8"/>
        <v>41942.345400000006</v>
      </c>
      <c r="K8" s="17"/>
      <c r="L8" s="34"/>
      <c r="M8" s="3"/>
    </row>
    <row r="9" spans="1:13" ht="14.1" customHeight="1" x14ac:dyDescent="0.2">
      <c r="A9" s="32" t="s">
        <v>99</v>
      </c>
      <c r="B9" s="33">
        <f t="shared" si="0"/>
        <v>1825.5014800000001</v>
      </c>
      <c r="C9" s="34">
        <f t="shared" si="4"/>
        <v>1093.80465</v>
      </c>
      <c r="D9" s="36">
        <f t="shared" si="1"/>
        <v>94.322499999999991</v>
      </c>
      <c r="E9" s="123">
        <f t="shared" si="2"/>
        <v>3013.6286300000002</v>
      </c>
      <c r="F9" s="34">
        <f t="shared" si="5"/>
        <v>27382.522200000003</v>
      </c>
      <c r="G9" s="110">
        <f t="shared" si="6"/>
        <v>13125.6558</v>
      </c>
      <c r="H9" s="36">
        <f t="shared" si="3"/>
        <v>1131.8699999999999</v>
      </c>
      <c r="I9" s="34">
        <f t="shared" si="7"/>
        <v>302.29740000000004</v>
      </c>
      <c r="J9" s="34">
        <f t="shared" si="8"/>
        <v>41942.345400000006</v>
      </c>
      <c r="K9" s="17"/>
      <c r="L9" s="34"/>
      <c r="M9" s="23"/>
    </row>
    <row r="10" spans="1:13" ht="14.1" customHeight="1" x14ac:dyDescent="0.2">
      <c r="A10" s="32" t="s">
        <v>100</v>
      </c>
      <c r="B10" s="33">
        <f t="shared" si="0"/>
        <v>1825.5014800000001</v>
      </c>
      <c r="C10" s="34">
        <f t="shared" si="4"/>
        <v>1093.80465</v>
      </c>
      <c r="D10" s="36">
        <f t="shared" si="1"/>
        <v>94.322499999999991</v>
      </c>
      <c r="E10" s="123">
        <f t="shared" si="2"/>
        <v>3013.6286300000002</v>
      </c>
      <c r="F10" s="34">
        <f t="shared" si="5"/>
        <v>27382.522200000003</v>
      </c>
      <c r="G10" s="110">
        <f t="shared" si="6"/>
        <v>13125.6558</v>
      </c>
      <c r="H10" s="36">
        <f t="shared" si="3"/>
        <v>1131.8699999999999</v>
      </c>
      <c r="I10" s="34">
        <f t="shared" si="7"/>
        <v>302.29740000000004</v>
      </c>
      <c r="J10" s="34">
        <f t="shared" si="8"/>
        <v>41942.345400000006</v>
      </c>
      <c r="K10" s="17"/>
      <c r="L10" s="34"/>
      <c r="M10" s="3"/>
    </row>
    <row r="11" spans="1:13" ht="14.1" customHeight="1" x14ac:dyDescent="0.2">
      <c r="A11" s="32" t="s">
        <v>101</v>
      </c>
      <c r="B11" s="33">
        <f t="shared" si="0"/>
        <v>1825.5014800000001</v>
      </c>
      <c r="C11" s="34">
        <f t="shared" si="4"/>
        <v>1093.80465</v>
      </c>
      <c r="D11" s="36">
        <f t="shared" si="1"/>
        <v>94.322499999999991</v>
      </c>
      <c r="E11" s="123">
        <f t="shared" si="2"/>
        <v>3013.6286300000002</v>
      </c>
      <c r="F11" s="34">
        <f t="shared" si="5"/>
        <v>27382.522200000003</v>
      </c>
      <c r="G11" s="110">
        <f t="shared" si="6"/>
        <v>13125.6558</v>
      </c>
      <c r="H11" s="36">
        <f t="shared" si="3"/>
        <v>1131.8699999999999</v>
      </c>
      <c r="I11" s="34">
        <f t="shared" si="7"/>
        <v>302.29740000000004</v>
      </c>
      <c r="J11" s="34">
        <f t="shared" si="8"/>
        <v>41942.345400000006</v>
      </c>
      <c r="K11" s="17"/>
      <c r="L11" s="34"/>
      <c r="M11" s="3"/>
    </row>
    <row r="12" spans="1:13" ht="14.1" customHeight="1" x14ac:dyDescent="0.2">
      <c r="A12" s="32" t="s">
        <v>102</v>
      </c>
      <c r="B12" s="33">
        <f t="shared" si="0"/>
        <v>1825.5014800000001</v>
      </c>
      <c r="C12" s="34">
        <f t="shared" si="4"/>
        <v>1093.80465</v>
      </c>
      <c r="D12" s="36">
        <f t="shared" si="1"/>
        <v>94.322499999999991</v>
      </c>
      <c r="E12" s="123">
        <f t="shared" si="2"/>
        <v>3013.6286300000002</v>
      </c>
      <c r="F12" s="34">
        <f t="shared" si="5"/>
        <v>27382.522200000003</v>
      </c>
      <c r="G12" s="110">
        <f t="shared" si="6"/>
        <v>13125.6558</v>
      </c>
      <c r="H12" s="36">
        <f t="shared" si="3"/>
        <v>1131.8699999999999</v>
      </c>
      <c r="I12" s="34">
        <f t="shared" si="7"/>
        <v>302.29740000000004</v>
      </c>
      <c r="J12" s="34">
        <f t="shared" si="8"/>
        <v>41942.345400000006</v>
      </c>
      <c r="K12" s="17"/>
      <c r="L12" s="34"/>
      <c r="M12" s="3"/>
    </row>
    <row r="13" spans="1:13" ht="14.1" customHeight="1" x14ac:dyDescent="0.2">
      <c r="A13" s="32" t="s">
        <v>103</v>
      </c>
      <c r="B13" s="33">
        <f t="shared" si="0"/>
        <v>1825.5014800000001</v>
      </c>
      <c r="C13" s="34">
        <f>$C$4</f>
        <v>1292.8551</v>
      </c>
      <c r="D13" s="36">
        <f t="shared" si="1"/>
        <v>94.322499999999991</v>
      </c>
      <c r="E13" s="123">
        <f t="shared" si="2"/>
        <v>3212.6790799999999</v>
      </c>
      <c r="F13" s="34">
        <f t="shared" si="5"/>
        <v>27382.522200000003</v>
      </c>
      <c r="G13" s="110">
        <f>$G$4</f>
        <v>15514.261199999999</v>
      </c>
      <c r="H13" s="36">
        <f t="shared" si="3"/>
        <v>1131.8699999999999</v>
      </c>
      <c r="I13" s="34">
        <f t="shared" si="7"/>
        <v>302.29740000000004</v>
      </c>
      <c r="J13" s="34">
        <f>SUM($F$4:$I$4)</f>
        <v>44330.950800000006</v>
      </c>
      <c r="K13" s="17"/>
      <c r="L13" s="34"/>
      <c r="M13" s="3"/>
    </row>
    <row r="14" spans="1:13" ht="14.1" customHeight="1" x14ac:dyDescent="0.2">
      <c r="A14" s="32"/>
      <c r="B14" s="34"/>
      <c r="C14" s="39"/>
      <c r="D14" s="40"/>
      <c r="E14" s="41"/>
      <c r="F14" s="34"/>
      <c r="G14" s="42"/>
      <c r="H14" s="40"/>
      <c r="I14" s="39"/>
      <c r="J14" s="43"/>
      <c r="K14" s="17"/>
      <c r="L14" s="39"/>
      <c r="M14" s="3"/>
    </row>
    <row r="15" spans="1:13" ht="14.1" customHeight="1" x14ac:dyDescent="0.2">
      <c r="A15" s="44" t="s">
        <v>84</v>
      </c>
      <c r="B15" s="43" t="s">
        <v>4</v>
      </c>
      <c r="C15" s="43" t="s">
        <v>85</v>
      </c>
      <c r="D15" s="43" t="s">
        <v>86</v>
      </c>
      <c r="E15" s="43" t="s">
        <v>68</v>
      </c>
      <c r="F15" s="43" t="s">
        <v>4</v>
      </c>
      <c r="G15" s="43" t="s">
        <v>85</v>
      </c>
      <c r="H15" s="43" t="s">
        <v>86</v>
      </c>
      <c r="I15" s="43" t="s">
        <v>87</v>
      </c>
      <c r="J15" s="43" t="s">
        <v>68</v>
      </c>
      <c r="K15" s="43" t="s">
        <v>88</v>
      </c>
      <c r="L15" s="43" t="s">
        <v>89</v>
      </c>
      <c r="M15" s="3"/>
    </row>
    <row r="16" spans="1:13" ht="14.1" customHeight="1" x14ac:dyDescent="0.2">
      <c r="A16" s="44" t="s">
        <v>104</v>
      </c>
      <c r="B16" s="43" t="s">
        <v>91</v>
      </c>
      <c r="C16" s="43" t="s">
        <v>91</v>
      </c>
      <c r="D16" s="43" t="s">
        <v>91</v>
      </c>
      <c r="E16" s="43" t="s">
        <v>91</v>
      </c>
      <c r="F16" s="43" t="s">
        <v>92</v>
      </c>
      <c r="G16" s="43" t="s">
        <v>92</v>
      </c>
      <c r="H16" s="43" t="s">
        <v>92</v>
      </c>
      <c r="I16" s="43" t="s">
        <v>92</v>
      </c>
      <c r="J16" s="43" t="s">
        <v>92</v>
      </c>
      <c r="K16" s="43">
        <v>2024</v>
      </c>
      <c r="L16" s="43" t="s">
        <v>93</v>
      </c>
      <c r="M16" s="3"/>
    </row>
    <row r="17" spans="1:13" ht="14.1" customHeight="1" x14ac:dyDescent="0.2">
      <c r="A17" s="32" t="s">
        <v>105</v>
      </c>
      <c r="B17" s="33">
        <f>$F$17/15</f>
        <v>1538.0328400000001</v>
      </c>
      <c r="C17" s="34">
        <f>$G$17/12</f>
        <v>1048.5345</v>
      </c>
      <c r="D17" s="36">
        <f>$H$4/12</f>
        <v>94.322499999999991</v>
      </c>
      <c r="E17" s="123">
        <f>SUM($B$17:$D$17)</f>
        <v>2680.8898399999998</v>
      </c>
      <c r="F17" s="34">
        <f>22618.13*102/100</f>
        <v>23070.492600000001</v>
      </c>
      <c r="G17" s="110">
        <f>12335.7*102/100</f>
        <v>12582.414000000001</v>
      </c>
      <c r="H17" s="36">
        <f>$D$4*12</f>
        <v>1131.8699999999999</v>
      </c>
      <c r="I17" s="34">
        <f>395.25*102/100</f>
        <v>403.15499999999997</v>
      </c>
      <c r="J17" s="34">
        <f>SUM($F$17:$I$17)</f>
        <v>37187.931600000004</v>
      </c>
      <c r="K17" s="124">
        <f>40.15*102/100</f>
        <v>40.952999999999996</v>
      </c>
      <c r="L17" s="34">
        <v>0</v>
      </c>
      <c r="M17" s="3"/>
    </row>
    <row r="18" spans="1:13" ht="14.1" customHeight="1" x14ac:dyDescent="0.2">
      <c r="A18" s="32" t="s">
        <v>106</v>
      </c>
      <c r="B18" s="33">
        <f t="shared" ref="B18:B28" si="9">$F$17/15</f>
        <v>1538.0328400000001</v>
      </c>
      <c r="C18" s="34">
        <f>$G$18/12</f>
        <v>871.33329999999989</v>
      </c>
      <c r="D18" s="36">
        <f t="shared" ref="D18:D28" si="10">$H$4/12</f>
        <v>94.322499999999991</v>
      </c>
      <c r="E18" s="123">
        <f>SUM($B$18:$D$18)</f>
        <v>2503.6886400000003</v>
      </c>
      <c r="F18" s="34">
        <f>$F$17</f>
        <v>23070.492600000001</v>
      </c>
      <c r="G18" s="110">
        <f>10250.98*102/100</f>
        <v>10455.999599999999</v>
      </c>
      <c r="H18" s="36">
        <f t="shared" ref="H18:H28" si="11">$D$4*12</f>
        <v>1131.8699999999999</v>
      </c>
      <c r="I18" s="34">
        <f>$I$17</f>
        <v>403.15499999999997</v>
      </c>
      <c r="J18" s="34">
        <f>SUM($F$18:$I$18)</f>
        <v>35061.517200000002</v>
      </c>
      <c r="K18" s="17"/>
      <c r="L18" s="34"/>
      <c r="M18" s="3"/>
    </row>
    <row r="19" spans="1:13" ht="14.1" customHeight="1" x14ac:dyDescent="0.2">
      <c r="A19" s="32" t="s">
        <v>107</v>
      </c>
      <c r="B19" s="33">
        <f t="shared" si="9"/>
        <v>1538.0328400000001</v>
      </c>
      <c r="C19" s="34">
        <f t="shared" ref="C19:C27" si="12">$G$18/12</f>
        <v>871.33329999999989</v>
      </c>
      <c r="D19" s="36">
        <f t="shared" si="10"/>
        <v>94.322499999999991</v>
      </c>
      <c r="E19" s="123">
        <f t="shared" ref="E19:E27" si="13">SUM($B$18:$D$18)</f>
        <v>2503.6886400000003</v>
      </c>
      <c r="F19" s="34">
        <f t="shared" ref="F19:F28" si="14">$F$17</f>
        <v>23070.492600000001</v>
      </c>
      <c r="G19" s="110">
        <f>$G$18</f>
        <v>10455.999599999999</v>
      </c>
      <c r="H19" s="36">
        <f t="shared" si="11"/>
        <v>1131.8699999999999</v>
      </c>
      <c r="I19" s="34">
        <f>$I$4</f>
        <v>302.29740000000004</v>
      </c>
      <c r="J19" s="34">
        <f>SUM($F$19:$I$19)</f>
        <v>34960.659600000006</v>
      </c>
      <c r="K19" s="17"/>
      <c r="L19" s="34"/>
      <c r="M19" s="3"/>
    </row>
    <row r="20" spans="1:13" ht="14.1" customHeight="1" x14ac:dyDescent="0.2">
      <c r="A20" s="32" t="s">
        <v>108</v>
      </c>
      <c r="B20" s="33">
        <f t="shared" si="9"/>
        <v>1538.0328400000001</v>
      </c>
      <c r="C20" s="34">
        <f t="shared" si="12"/>
        <v>871.33329999999989</v>
      </c>
      <c r="D20" s="36">
        <f t="shared" si="10"/>
        <v>94.322499999999991</v>
      </c>
      <c r="E20" s="123">
        <f t="shared" si="13"/>
        <v>2503.6886400000003</v>
      </c>
      <c r="F20" s="34">
        <f t="shared" si="14"/>
        <v>23070.492600000001</v>
      </c>
      <c r="G20" s="110">
        <f t="shared" ref="G20:G27" si="15">$G$18</f>
        <v>10455.999599999999</v>
      </c>
      <c r="H20" s="36">
        <f t="shared" si="11"/>
        <v>1131.8699999999999</v>
      </c>
      <c r="I20" s="34">
        <f>$I$19</f>
        <v>302.29740000000004</v>
      </c>
      <c r="J20" s="34">
        <f t="shared" ref="J20:J21" si="16">SUM($F$19:$I$19)</f>
        <v>34960.659600000006</v>
      </c>
      <c r="K20" s="17"/>
      <c r="L20" s="34"/>
      <c r="M20" s="3"/>
    </row>
    <row r="21" spans="1:13" ht="14.1" customHeight="1" x14ac:dyDescent="0.2">
      <c r="A21" s="32" t="s">
        <v>109</v>
      </c>
      <c r="B21" s="33">
        <f t="shared" si="9"/>
        <v>1538.0328400000001</v>
      </c>
      <c r="C21" s="34">
        <f t="shared" si="12"/>
        <v>871.33329999999989</v>
      </c>
      <c r="D21" s="36">
        <f t="shared" si="10"/>
        <v>94.322499999999991</v>
      </c>
      <c r="E21" s="123">
        <f t="shared" si="13"/>
        <v>2503.6886400000003</v>
      </c>
      <c r="F21" s="34">
        <f t="shared" si="14"/>
        <v>23070.492600000001</v>
      </c>
      <c r="G21" s="110">
        <f t="shared" si="15"/>
        <v>10455.999599999999</v>
      </c>
      <c r="H21" s="36">
        <f t="shared" si="11"/>
        <v>1131.8699999999999</v>
      </c>
      <c r="I21" s="34">
        <f>$I$19</f>
        <v>302.29740000000004</v>
      </c>
      <c r="J21" s="34">
        <f t="shared" si="16"/>
        <v>34960.659600000006</v>
      </c>
      <c r="K21" s="17"/>
      <c r="L21" s="34"/>
      <c r="M21" s="3"/>
    </row>
    <row r="22" spans="1:13" ht="14.1" customHeight="1" x14ac:dyDescent="0.2">
      <c r="A22" s="32" t="s">
        <v>110</v>
      </c>
      <c r="B22" s="33">
        <f t="shared" si="9"/>
        <v>1538.0328400000001</v>
      </c>
      <c r="C22" s="34">
        <f t="shared" si="12"/>
        <v>871.33329999999989</v>
      </c>
      <c r="D22" s="36">
        <f t="shared" si="10"/>
        <v>94.322499999999991</v>
      </c>
      <c r="E22" s="123">
        <f t="shared" si="13"/>
        <v>2503.6886400000003</v>
      </c>
      <c r="F22" s="34">
        <f t="shared" si="14"/>
        <v>23070.492600000001</v>
      </c>
      <c r="G22" s="110">
        <f t="shared" si="15"/>
        <v>10455.999599999999</v>
      </c>
      <c r="H22" s="36">
        <f t="shared" si="11"/>
        <v>1131.8699999999999</v>
      </c>
      <c r="I22" s="34">
        <f>$I$17</f>
        <v>403.15499999999997</v>
      </c>
      <c r="J22" s="34">
        <f>SUM($F$22:$I$22)</f>
        <v>35061.517200000002</v>
      </c>
      <c r="K22" s="17"/>
      <c r="L22" s="34"/>
      <c r="M22" s="3"/>
    </row>
    <row r="23" spans="1:13" ht="14.1" customHeight="1" x14ac:dyDescent="0.2">
      <c r="A23" s="32" t="s">
        <v>111</v>
      </c>
      <c r="B23" s="33">
        <f t="shared" si="9"/>
        <v>1538.0328400000001</v>
      </c>
      <c r="C23" s="34">
        <f t="shared" si="12"/>
        <v>871.33329999999989</v>
      </c>
      <c r="D23" s="36">
        <f t="shared" si="10"/>
        <v>94.322499999999991</v>
      </c>
      <c r="E23" s="123">
        <f t="shared" si="13"/>
        <v>2503.6886400000003</v>
      </c>
      <c r="F23" s="34">
        <f t="shared" si="14"/>
        <v>23070.492600000001</v>
      </c>
      <c r="G23" s="110">
        <f t="shared" si="15"/>
        <v>10455.999599999999</v>
      </c>
      <c r="H23" s="36">
        <f t="shared" si="11"/>
        <v>1131.8699999999999</v>
      </c>
      <c r="I23" s="34">
        <f>$I$19</f>
        <v>302.29740000000004</v>
      </c>
      <c r="J23" s="34">
        <f>SUM($F$19:$I$19)</f>
        <v>34960.659600000006</v>
      </c>
      <c r="K23" s="17"/>
      <c r="L23" s="34"/>
      <c r="M23" s="3"/>
    </row>
    <row r="24" spans="1:13" ht="14.1" customHeight="1" x14ac:dyDescent="0.2">
      <c r="A24" s="32" t="s">
        <v>112</v>
      </c>
      <c r="B24" s="33">
        <f t="shared" si="9"/>
        <v>1538.0328400000001</v>
      </c>
      <c r="C24" s="34">
        <f t="shared" si="12"/>
        <v>871.33329999999989</v>
      </c>
      <c r="D24" s="36">
        <f t="shared" si="10"/>
        <v>94.322499999999991</v>
      </c>
      <c r="E24" s="123">
        <f t="shared" si="13"/>
        <v>2503.6886400000003</v>
      </c>
      <c r="F24" s="34">
        <f t="shared" si="14"/>
        <v>23070.492600000001</v>
      </c>
      <c r="G24" s="110">
        <f t="shared" si="15"/>
        <v>10455.999599999999</v>
      </c>
      <c r="H24" s="36">
        <f t="shared" si="11"/>
        <v>1131.8699999999999</v>
      </c>
      <c r="I24" s="34">
        <f t="shared" ref="I24:I28" si="17">$I$19</f>
        <v>302.29740000000004</v>
      </c>
      <c r="J24" s="34">
        <f t="shared" ref="J24:J27" si="18">SUM($F$19:$I$19)</f>
        <v>34960.659600000006</v>
      </c>
      <c r="K24" s="17"/>
      <c r="L24" s="34"/>
      <c r="M24" s="3"/>
    </row>
    <row r="25" spans="1:13" ht="14.1" customHeight="1" x14ac:dyDescent="0.2">
      <c r="A25" s="32" t="s">
        <v>113</v>
      </c>
      <c r="B25" s="33">
        <f t="shared" si="9"/>
        <v>1538.0328400000001</v>
      </c>
      <c r="C25" s="34">
        <f t="shared" si="12"/>
        <v>871.33329999999989</v>
      </c>
      <c r="D25" s="36">
        <f t="shared" si="10"/>
        <v>94.322499999999991</v>
      </c>
      <c r="E25" s="123">
        <f t="shared" si="13"/>
        <v>2503.6886400000003</v>
      </c>
      <c r="F25" s="34">
        <f t="shared" si="14"/>
        <v>23070.492600000001</v>
      </c>
      <c r="G25" s="110">
        <f t="shared" si="15"/>
        <v>10455.999599999999</v>
      </c>
      <c r="H25" s="36">
        <f t="shared" si="11"/>
        <v>1131.8699999999999</v>
      </c>
      <c r="I25" s="34">
        <f t="shared" si="17"/>
        <v>302.29740000000004</v>
      </c>
      <c r="J25" s="34">
        <f t="shared" si="18"/>
        <v>34960.659600000006</v>
      </c>
      <c r="K25" s="17"/>
      <c r="L25" s="34"/>
      <c r="M25" s="3"/>
    </row>
    <row r="26" spans="1:13" ht="14.1" customHeight="1" x14ac:dyDescent="0.2">
      <c r="A26" s="32" t="s">
        <v>114</v>
      </c>
      <c r="B26" s="33">
        <f t="shared" si="9"/>
        <v>1538.0328400000001</v>
      </c>
      <c r="C26" s="34">
        <f t="shared" si="12"/>
        <v>871.33329999999989</v>
      </c>
      <c r="D26" s="36">
        <f t="shared" si="10"/>
        <v>94.322499999999991</v>
      </c>
      <c r="E26" s="123">
        <f t="shared" si="13"/>
        <v>2503.6886400000003</v>
      </c>
      <c r="F26" s="34">
        <f t="shared" si="14"/>
        <v>23070.492600000001</v>
      </c>
      <c r="G26" s="110">
        <f t="shared" si="15"/>
        <v>10455.999599999999</v>
      </c>
      <c r="H26" s="36">
        <f t="shared" si="11"/>
        <v>1131.8699999999999</v>
      </c>
      <c r="I26" s="34">
        <f t="shared" si="17"/>
        <v>302.29740000000004</v>
      </c>
      <c r="J26" s="34">
        <f t="shared" si="18"/>
        <v>34960.659600000006</v>
      </c>
      <c r="K26" s="17"/>
      <c r="L26" s="34"/>
      <c r="M26" s="3"/>
    </row>
    <row r="27" spans="1:13" ht="14.1" customHeight="1" x14ac:dyDescent="0.2">
      <c r="A27" s="32" t="s">
        <v>115</v>
      </c>
      <c r="B27" s="33">
        <f t="shared" si="9"/>
        <v>1538.0328400000001</v>
      </c>
      <c r="C27" s="34">
        <f t="shared" si="12"/>
        <v>871.33329999999989</v>
      </c>
      <c r="D27" s="36">
        <f t="shared" si="10"/>
        <v>94.322499999999991</v>
      </c>
      <c r="E27" s="123">
        <f t="shared" si="13"/>
        <v>2503.6886400000003</v>
      </c>
      <c r="F27" s="34">
        <f t="shared" si="14"/>
        <v>23070.492600000001</v>
      </c>
      <c r="G27" s="110">
        <f t="shared" si="15"/>
        <v>10455.999599999999</v>
      </c>
      <c r="H27" s="36">
        <f t="shared" si="11"/>
        <v>1131.8699999999999</v>
      </c>
      <c r="I27" s="34">
        <f t="shared" si="17"/>
        <v>302.29740000000004</v>
      </c>
      <c r="J27" s="34">
        <f t="shared" si="18"/>
        <v>34960.659600000006</v>
      </c>
      <c r="K27" s="17"/>
      <c r="L27" s="34"/>
      <c r="M27" s="3"/>
    </row>
    <row r="28" spans="1:13" ht="14.1" customHeight="1" x14ac:dyDescent="0.2">
      <c r="A28" s="32" t="s">
        <v>116</v>
      </c>
      <c r="B28" s="33">
        <f t="shared" si="9"/>
        <v>1538.0328400000001</v>
      </c>
      <c r="C28" s="34">
        <f>$G$17/12</f>
        <v>1048.5345</v>
      </c>
      <c r="D28" s="36">
        <f t="shared" si="10"/>
        <v>94.322499999999991</v>
      </c>
      <c r="E28" s="123">
        <f>SUM($B$17:$D$17)</f>
        <v>2680.8898399999998</v>
      </c>
      <c r="F28" s="34">
        <f t="shared" si="14"/>
        <v>23070.492600000001</v>
      </c>
      <c r="G28" s="110">
        <f>$G$17</f>
        <v>12582.414000000001</v>
      </c>
      <c r="H28" s="36">
        <f t="shared" si="11"/>
        <v>1131.8699999999999</v>
      </c>
      <c r="I28" s="34">
        <f t="shared" si="17"/>
        <v>302.29740000000004</v>
      </c>
      <c r="J28" s="34">
        <f>SUM($F$28:$I$28)</f>
        <v>37087.074000000008</v>
      </c>
      <c r="K28" s="17"/>
      <c r="L28" s="34"/>
      <c r="M28" s="3"/>
    </row>
    <row r="29" spans="1:13" ht="14.1" customHeight="1" x14ac:dyDescent="0.2">
      <c r="A29" s="32"/>
      <c r="B29" s="34"/>
      <c r="C29" s="39"/>
      <c r="D29" s="40"/>
      <c r="E29" s="41"/>
      <c r="F29" s="34"/>
      <c r="G29" s="42"/>
      <c r="H29" s="40"/>
      <c r="I29" s="39"/>
      <c r="J29" s="43"/>
      <c r="K29" s="17"/>
      <c r="L29" s="39"/>
      <c r="M29" s="3"/>
    </row>
    <row r="30" spans="1:13" ht="14.1" customHeight="1" x14ac:dyDescent="0.2">
      <c r="A30" s="44" t="s">
        <v>84</v>
      </c>
      <c r="B30" s="43" t="s">
        <v>4</v>
      </c>
      <c r="C30" s="43" t="s">
        <v>85</v>
      </c>
      <c r="D30" s="43" t="s">
        <v>86</v>
      </c>
      <c r="E30" s="43" t="s">
        <v>68</v>
      </c>
      <c r="F30" s="43" t="s">
        <v>4</v>
      </c>
      <c r="G30" s="43" t="s">
        <v>85</v>
      </c>
      <c r="H30" s="43" t="s">
        <v>86</v>
      </c>
      <c r="I30" s="43" t="s">
        <v>87</v>
      </c>
      <c r="J30" s="43" t="s">
        <v>68</v>
      </c>
      <c r="K30" s="43" t="s">
        <v>88</v>
      </c>
      <c r="L30" s="43" t="s">
        <v>89</v>
      </c>
      <c r="M30" s="3"/>
    </row>
    <row r="31" spans="1:13" ht="14.1" customHeight="1" x14ac:dyDescent="0.2">
      <c r="A31" s="44" t="s">
        <v>117</v>
      </c>
      <c r="B31" s="43" t="s">
        <v>91</v>
      </c>
      <c r="C31" s="43" t="s">
        <v>91</v>
      </c>
      <c r="D31" s="43" t="s">
        <v>91</v>
      </c>
      <c r="E31" s="43" t="s">
        <v>91</v>
      </c>
      <c r="F31" s="43" t="s">
        <v>92</v>
      </c>
      <c r="G31" s="43" t="s">
        <v>92</v>
      </c>
      <c r="H31" s="43" t="s">
        <v>92</v>
      </c>
      <c r="I31" s="43" t="s">
        <v>92</v>
      </c>
      <c r="J31" s="43" t="s">
        <v>92</v>
      </c>
      <c r="K31" s="43">
        <v>2024</v>
      </c>
      <c r="L31" s="43" t="s">
        <v>93</v>
      </c>
      <c r="M31" s="3"/>
    </row>
    <row r="32" spans="1:13" ht="14.1" customHeight="1" x14ac:dyDescent="0.2">
      <c r="A32" s="32" t="s">
        <v>118</v>
      </c>
      <c r="B32" s="33">
        <f>$F$32/15</f>
        <v>1345.4330399999999</v>
      </c>
      <c r="C32" s="34">
        <f>$G$32/12</f>
        <v>875.55439999999999</v>
      </c>
      <c r="D32" s="36">
        <f>$H$4/12</f>
        <v>94.322499999999991</v>
      </c>
      <c r="E32" s="123">
        <f>SUM($B$32:$D$32)</f>
        <v>2315.3099400000001</v>
      </c>
      <c r="F32" s="34">
        <f>19785.78*102/100</f>
        <v>20181.495599999998</v>
      </c>
      <c r="G32" s="110">
        <f>10300.64*102/100</f>
        <v>10506.6528</v>
      </c>
      <c r="H32" s="36">
        <f>$D$4*12</f>
        <v>1131.8699999999999</v>
      </c>
      <c r="I32" s="34">
        <f>592.72*102/100</f>
        <v>604.57439999999997</v>
      </c>
      <c r="J32" s="34">
        <f>SUM($F$32:$I$32)</f>
        <v>32424.592799999999</v>
      </c>
      <c r="K32" s="125">
        <f>29.92*102/100</f>
        <v>30.5184</v>
      </c>
      <c r="L32" s="34">
        <v>0</v>
      </c>
      <c r="M32" s="3"/>
    </row>
    <row r="33" spans="1:13" ht="14.1" customHeight="1" x14ac:dyDescent="0.2">
      <c r="A33" s="32" t="s">
        <v>119</v>
      </c>
      <c r="B33" s="33">
        <f t="shared" ref="B33:B55" si="19">$F$32/15</f>
        <v>1345.4330399999999</v>
      </c>
      <c r="C33" s="34">
        <f>$G$33/12</f>
        <v>739.18124999999998</v>
      </c>
      <c r="D33" s="36">
        <f t="shared" ref="D33:D55" si="20">$H$4/12</f>
        <v>94.322499999999991</v>
      </c>
      <c r="E33" s="123">
        <f>SUM($B$33:$D$33)</f>
        <v>2178.9367899999997</v>
      </c>
      <c r="F33" s="34">
        <f>$F$32</f>
        <v>20181.495599999998</v>
      </c>
      <c r="G33" s="110">
        <f>8696.25*102/100</f>
        <v>8870.1749999999993</v>
      </c>
      <c r="H33" s="36">
        <f t="shared" ref="H33:H55" si="21">$D$4*12</f>
        <v>1131.8699999999999</v>
      </c>
      <c r="I33" s="34">
        <f>$I$32</f>
        <v>604.57439999999997</v>
      </c>
      <c r="J33" s="34">
        <f>SUM($F$33:$I$33)</f>
        <v>30788.114999999998</v>
      </c>
      <c r="K33" s="17"/>
      <c r="L33" s="34"/>
      <c r="M33" s="3"/>
    </row>
    <row r="34" spans="1:13" ht="14.1" customHeight="1" x14ac:dyDescent="0.2">
      <c r="A34" s="32" t="s">
        <v>120</v>
      </c>
      <c r="B34" s="33">
        <f t="shared" si="19"/>
        <v>1345.4330399999999</v>
      </c>
      <c r="C34" s="34">
        <f>$G$34/12</f>
        <v>679.43815000000006</v>
      </c>
      <c r="D34" s="36">
        <f t="shared" si="20"/>
        <v>94.322499999999991</v>
      </c>
      <c r="E34" s="123">
        <f>SUM($B$34:$D$34)</f>
        <v>2119.1936900000001</v>
      </c>
      <c r="F34" s="34">
        <f t="shared" ref="F34:F55" si="22">$F$32</f>
        <v>20181.495599999998</v>
      </c>
      <c r="G34" s="110">
        <f>7993.39*102/100</f>
        <v>8153.2578000000003</v>
      </c>
      <c r="H34" s="36">
        <f t="shared" si="21"/>
        <v>1131.8699999999999</v>
      </c>
      <c r="I34" s="34">
        <f t="shared" ref="I34:I35" si="23">$I$32</f>
        <v>604.57439999999997</v>
      </c>
      <c r="J34" s="34">
        <f>SUM($F$34:$I$34)</f>
        <v>30071.197799999998</v>
      </c>
      <c r="K34" s="17"/>
      <c r="L34" s="34"/>
      <c r="M34" s="3"/>
    </row>
    <row r="35" spans="1:13" ht="14.1" customHeight="1" x14ac:dyDescent="0.2">
      <c r="A35" s="32" t="s">
        <v>121</v>
      </c>
      <c r="B35" s="33">
        <f t="shared" si="19"/>
        <v>1345.4330399999999</v>
      </c>
      <c r="C35" s="34">
        <f t="shared" ref="C35:C37" si="24">$G$34/12</f>
        <v>679.43815000000006</v>
      </c>
      <c r="D35" s="36">
        <f t="shared" si="20"/>
        <v>94.322499999999991</v>
      </c>
      <c r="E35" s="123">
        <f t="shared" ref="E35:E37" si="25">SUM($B$34:$D$34)</f>
        <v>2119.1936900000001</v>
      </c>
      <c r="F35" s="34">
        <f t="shared" si="22"/>
        <v>20181.495599999998</v>
      </c>
      <c r="G35" s="110">
        <f>$G$34</f>
        <v>8153.2578000000003</v>
      </c>
      <c r="H35" s="36">
        <f t="shared" si="21"/>
        <v>1131.8699999999999</v>
      </c>
      <c r="I35" s="34">
        <f t="shared" si="23"/>
        <v>604.57439999999997</v>
      </c>
      <c r="J35" s="34">
        <f>SUM($F$34:$I$34)</f>
        <v>30071.197799999998</v>
      </c>
      <c r="K35" s="17"/>
      <c r="L35" s="34"/>
      <c r="M35" s="3"/>
    </row>
    <row r="36" spans="1:13" ht="14.1" customHeight="1" x14ac:dyDescent="0.2">
      <c r="A36" s="32" t="s">
        <v>122</v>
      </c>
      <c r="B36" s="33">
        <f t="shared" si="19"/>
        <v>1345.4330399999999</v>
      </c>
      <c r="C36" s="34">
        <f t="shared" si="24"/>
        <v>679.43815000000006</v>
      </c>
      <c r="D36" s="36">
        <f t="shared" si="20"/>
        <v>94.322499999999991</v>
      </c>
      <c r="E36" s="123">
        <f t="shared" si="25"/>
        <v>2119.1936900000001</v>
      </c>
      <c r="F36" s="34">
        <f t="shared" si="22"/>
        <v>20181.495599999998</v>
      </c>
      <c r="G36" s="110">
        <f t="shared" ref="G36" si="26">$G$34</f>
        <v>8153.2578000000003</v>
      </c>
      <c r="H36" s="36">
        <f t="shared" si="21"/>
        <v>1131.8699999999999</v>
      </c>
      <c r="I36" s="34">
        <f>$I$17</f>
        <v>403.15499999999997</v>
      </c>
      <c r="J36" s="34">
        <f>SUM($F$36:$I$36)</f>
        <v>29869.778399999996</v>
      </c>
      <c r="K36" s="17"/>
      <c r="L36" s="34"/>
      <c r="M36" s="3"/>
    </row>
    <row r="37" spans="1:13" ht="14.1" customHeight="1" x14ac:dyDescent="0.2">
      <c r="A37" s="32" t="s">
        <v>123</v>
      </c>
      <c r="B37" s="33">
        <f t="shared" si="19"/>
        <v>1345.4330399999999</v>
      </c>
      <c r="C37" s="34">
        <f t="shared" si="24"/>
        <v>679.43815000000006</v>
      </c>
      <c r="D37" s="36">
        <f t="shared" si="20"/>
        <v>94.322499999999991</v>
      </c>
      <c r="E37" s="123">
        <f t="shared" si="25"/>
        <v>2119.1936900000001</v>
      </c>
      <c r="F37" s="34">
        <f t="shared" si="22"/>
        <v>20181.495599999998</v>
      </c>
      <c r="G37" s="110">
        <f>$G$34</f>
        <v>8153.2578000000003</v>
      </c>
      <c r="H37" s="36">
        <f t="shared" si="21"/>
        <v>1131.8699999999999</v>
      </c>
      <c r="I37" s="34">
        <f>$I$36</f>
        <v>403.15499999999997</v>
      </c>
      <c r="J37" s="34">
        <f>SUM($F$36:$I$36)</f>
        <v>29869.778399999996</v>
      </c>
      <c r="K37" s="17"/>
      <c r="L37" s="34"/>
      <c r="M37" s="3"/>
    </row>
    <row r="38" spans="1:13" ht="14.1" customHeight="1" x14ac:dyDescent="0.2">
      <c r="A38" s="32" t="s">
        <v>124</v>
      </c>
      <c r="B38" s="33">
        <f t="shared" si="19"/>
        <v>1345.4330399999999</v>
      </c>
      <c r="C38" s="34">
        <f>$G$38/12</f>
        <v>543.07000000000005</v>
      </c>
      <c r="D38" s="36">
        <f t="shared" si="20"/>
        <v>94.322499999999991</v>
      </c>
      <c r="E38" s="123">
        <f>SUM($B$38:$D$38)</f>
        <v>1982.82554</v>
      </c>
      <c r="F38" s="34">
        <f t="shared" si="22"/>
        <v>20181.495599999998</v>
      </c>
      <c r="G38" s="110">
        <v>6516.84</v>
      </c>
      <c r="H38" s="36">
        <f t="shared" si="21"/>
        <v>1131.8699999999999</v>
      </c>
      <c r="I38" s="34">
        <f>$I$36</f>
        <v>403.15499999999997</v>
      </c>
      <c r="J38" s="34">
        <f>SUM($F$38:$I$38)</f>
        <v>28233.360599999996</v>
      </c>
      <c r="K38" s="17"/>
      <c r="L38" s="34"/>
      <c r="M38" s="3"/>
    </row>
    <row r="39" spans="1:13" ht="14.1" customHeight="1" x14ac:dyDescent="0.2">
      <c r="A39" s="32" t="s">
        <v>125</v>
      </c>
      <c r="B39" s="33">
        <f t="shared" si="19"/>
        <v>1345.4330399999999</v>
      </c>
      <c r="C39" s="34">
        <f t="shared" ref="C39:C52" si="27">$G$38/12</f>
        <v>543.07000000000005</v>
      </c>
      <c r="D39" s="36">
        <f t="shared" si="20"/>
        <v>94.322499999999991</v>
      </c>
      <c r="E39" s="123">
        <f t="shared" ref="E39:E52" si="28">SUM($B$38:$D$38)</f>
        <v>1982.82554</v>
      </c>
      <c r="F39" s="34">
        <f t="shared" si="22"/>
        <v>20181.495599999998</v>
      </c>
      <c r="G39" s="110">
        <f>$G$38</f>
        <v>6516.84</v>
      </c>
      <c r="H39" s="36">
        <f t="shared" si="21"/>
        <v>1131.8699999999999</v>
      </c>
      <c r="I39" s="34">
        <f>$I$32</f>
        <v>604.57439999999997</v>
      </c>
      <c r="J39" s="34">
        <f>SUM($F$39:$I$39)</f>
        <v>28434.78</v>
      </c>
      <c r="K39" s="17"/>
      <c r="L39" s="34"/>
      <c r="M39" s="3"/>
    </row>
    <row r="40" spans="1:13" ht="14.1" customHeight="1" x14ac:dyDescent="0.2">
      <c r="A40" s="32" t="s">
        <v>126</v>
      </c>
      <c r="B40" s="33">
        <f t="shared" si="19"/>
        <v>1345.4330399999999</v>
      </c>
      <c r="C40" s="34">
        <f t="shared" si="27"/>
        <v>543.07000000000005</v>
      </c>
      <c r="D40" s="36">
        <f t="shared" si="20"/>
        <v>94.322499999999991</v>
      </c>
      <c r="E40" s="123">
        <f t="shared" si="28"/>
        <v>1982.82554</v>
      </c>
      <c r="F40" s="34">
        <f t="shared" si="22"/>
        <v>20181.495599999998</v>
      </c>
      <c r="G40" s="110">
        <f t="shared" ref="G40:G52" si="29">$G$38</f>
        <v>6516.84</v>
      </c>
      <c r="H40" s="36">
        <f t="shared" si="21"/>
        <v>1131.8699999999999</v>
      </c>
      <c r="I40" s="34">
        <f>$I$32</f>
        <v>604.57439999999997</v>
      </c>
      <c r="J40" s="34">
        <f>SUM($F$39:$I$39)</f>
        <v>28434.78</v>
      </c>
      <c r="K40" s="17"/>
      <c r="L40" s="34"/>
      <c r="M40" s="3"/>
    </row>
    <row r="41" spans="1:13" ht="14.1" customHeight="1" x14ac:dyDescent="0.2">
      <c r="A41" s="32" t="s">
        <v>127</v>
      </c>
      <c r="B41" s="33">
        <f t="shared" si="19"/>
        <v>1345.4330399999999</v>
      </c>
      <c r="C41" s="34">
        <f t="shared" si="27"/>
        <v>543.07000000000005</v>
      </c>
      <c r="D41" s="36">
        <f t="shared" si="20"/>
        <v>94.322499999999991</v>
      </c>
      <c r="E41" s="123">
        <f t="shared" si="28"/>
        <v>1982.82554</v>
      </c>
      <c r="F41" s="34">
        <f t="shared" si="22"/>
        <v>20181.495599999998</v>
      </c>
      <c r="G41" s="110">
        <f t="shared" si="29"/>
        <v>6516.84</v>
      </c>
      <c r="H41" s="36">
        <f t="shared" si="21"/>
        <v>1131.8699999999999</v>
      </c>
      <c r="I41" s="34">
        <f>$I$36</f>
        <v>403.15499999999997</v>
      </c>
      <c r="J41" s="34">
        <f>SUM($F$41:$I$41)</f>
        <v>28233.360599999996</v>
      </c>
      <c r="K41" s="17"/>
      <c r="L41" s="34"/>
      <c r="M41" s="3"/>
    </row>
    <row r="42" spans="1:13" ht="14.1" customHeight="1" x14ac:dyDescent="0.2">
      <c r="A42" s="32" t="s">
        <v>128</v>
      </c>
      <c r="B42" s="33">
        <f t="shared" si="19"/>
        <v>1345.4330399999999</v>
      </c>
      <c r="C42" s="34">
        <f t="shared" si="27"/>
        <v>543.07000000000005</v>
      </c>
      <c r="D42" s="36">
        <f t="shared" si="20"/>
        <v>94.322499999999991</v>
      </c>
      <c r="E42" s="123">
        <f t="shared" si="28"/>
        <v>1982.82554</v>
      </c>
      <c r="F42" s="34">
        <f t="shared" si="22"/>
        <v>20181.495599999998</v>
      </c>
      <c r="G42" s="110">
        <f t="shared" si="29"/>
        <v>6516.84</v>
      </c>
      <c r="H42" s="36">
        <f t="shared" si="21"/>
        <v>1131.8699999999999</v>
      </c>
      <c r="I42" s="34">
        <f>$I$36</f>
        <v>403.15499999999997</v>
      </c>
      <c r="J42" s="34">
        <f>SUM($F$41:$I$41)</f>
        <v>28233.360599999996</v>
      </c>
      <c r="K42" s="17"/>
      <c r="L42" s="34"/>
      <c r="M42" s="3"/>
    </row>
    <row r="43" spans="1:13" ht="14.1" customHeight="1" x14ac:dyDescent="0.2">
      <c r="A43" s="32" t="s">
        <v>129</v>
      </c>
      <c r="B43" s="33">
        <f t="shared" si="19"/>
        <v>1345.4330399999999</v>
      </c>
      <c r="C43" s="34">
        <f t="shared" si="27"/>
        <v>543.07000000000005</v>
      </c>
      <c r="D43" s="36">
        <f t="shared" si="20"/>
        <v>94.322499999999991</v>
      </c>
      <c r="E43" s="123">
        <f t="shared" si="28"/>
        <v>1982.82554</v>
      </c>
      <c r="F43" s="34">
        <f t="shared" si="22"/>
        <v>20181.495599999998</v>
      </c>
      <c r="G43" s="110">
        <f t="shared" si="29"/>
        <v>6516.84</v>
      </c>
      <c r="H43" s="36">
        <f t="shared" si="21"/>
        <v>1131.8699999999999</v>
      </c>
      <c r="I43" s="34">
        <f>$I$4</f>
        <v>302.29740000000004</v>
      </c>
      <c r="J43" s="34">
        <f>SUM($F$43:$I$43)</f>
        <v>28132.502999999997</v>
      </c>
      <c r="K43" s="17"/>
      <c r="L43" s="34"/>
      <c r="M43" s="3"/>
    </row>
    <row r="44" spans="1:13" ht="14.1" customHeight="1" x14ac:dyDescent="0.2">
      <c r="A44" s="32" t="s">
        <v>130</v>
      </c>
      <c r="B44" s="33">
        <f t="shared" si="19"/>
        <v>1345.4330399999999</v>
      </c>
      <c r="C44" s="34">
        <f t="shared" si="27"/>
        <v>543.07000000000005</v>
      </c>
      <c r="D44" s="36">
        <f t="shared" si="20"/>
        <v>94.322499999999991</v>
      </c>
      <c r="E44" s="123">
        <f t="shared" si="28"/>
        <v>1982.82554</v>
      </c>
      <c r="F44" s="34">
        <f t="shared" si="22"/>
        <v>20181.495599999998</v>
      </c>
      <c r="G44" s="110">
        <f t="shared" si="29"/>
        <v>6516.84</v>
      </c>
      <c r="H44" s="36">
        <f t="shared" si="21"/>
        <v>1131.8699999999999</v>
      </c>
      <c r="I44" s="34">
        <f>$I$43</f>
        <v>302.29740000000004</v>
      </c>
      <c r="J44" s="34">
        <f t="shared" ref="J44:J45" si="30">SUM($F$43:$I$43)</f>
        <v>28132.502999999997</v>
      </c>
      <c r="K44" s="17"/>
      <c r="L44" s="34"/>
      <c r="M44" s="3"/>
    </row>
    <row r="45" spans="1:13" ht="14.1" customHeight="1" x14ac:dyDescent="0.2">
      <c r="A45" s="32" t="s">
        <v>131</v>
      </c>
      <c r="B45" s="33">
        <f t="shared" si="19"/>
        <v>1345.4330399999999</v>
      </c>
      <c r="C45" s="34">
        <f t="shared" si="27"/>
        <v>543.07000000000005</v>
      </c>
      <c r="D45" s="36">
        <f t="shared" si="20"/>
        <v>94.322499999999991</v>
      </c>
      <c r="E45" s="123">
        <f t="shared" si="28"/>
        <v>1982.82554</v>
      </c>
      <c r="F45" s="34">
        <f t="shared" si="22"/>
        <v>20181.495599999998</v>
      </c>
      <c r="G45" s="110">
        <f t="shared" si="29"/>
        <v>6516.84</v>
      </c>
      <c r="H45" s="36">
        <f t="shared" si="21"/>
        <v>1131.8699999999999</v>
      </c>
      <c r="I45" s="34">
        <f>$I$43</f>
        <v>302.29740000000004</v>
      </c>
      <c r="J45" s="34">
        <f t="shared" si="30"/>
        <v>28132.502999999997</v>
      </c>
      <c r="K45" s="17"/>
      <c r="L45" s="34"/>
      <c r="M45" s="3"/>
    </row>
    <row r="46" spans="1:13" ht="14.1" customHeight="1" x14ac:dyDescent="0.2">
      <c r="A46" s="32" t="s">
        <v>132</v>
      </c>
      <c r="B46" s="33">
        <f t="shared" si="19"/>
        <v>1345.4330399999999</v>
      </c>
      <c r="C46" s="34">
        <f t="shared" si="27"/>
        <v>543.07000000000005</v>
      </c>
      <c r="D46" s="36">
        <f t="shared" si="20"/>
        <v>94.322499999999991</v>
      </c>
      <c r="E46" s="123">
        <f t="shared" si="28"/>
        <v>1982.82554</v>
      </c>
      <c r="F46" s="34">
        <f t="shared" si="22"/>
        <v>20181.495599999998</v>
      </c>
      <c r="G46" s="110">
        <f t="shared" si="29"/>
        <v>6516.84</v>
      </c>
      <c r="H46" s="36">
        <f t="shared" si="21"/>
        <v>1131.8699999999999</v>
      </c>
      <c r="I46" s="34">
        <f>$I$36</f>
        <v>403.15499999999997</v>
      </c>
      <c r="J46" s="34">
        <f>SUM($F$41:$I$41)</f>
        <v>28233.360599999996</v>
      </c>
      <c r="K46" s="17"/>
      <c r="L46" s="34"/>
      <c r="M46" s="3"/>
    </row>
    <row r="47" spans="1:13" ht="14.1" customHeight="1" x14ac:dyDescent="0.2">
      <c r="A47" s="32" t="s">
        <v>133</v>
      </c>
      <c r="B47" s="33">
        <f t="shared" si="19"/>
        <v>1345.4330399999999</v>
      </c>
      <c r="C47" s="34">
        <f t="shared" si="27"/>
        <v>543.07000000000005</v>
      </c>
      <c r="D47" s="36">
        <f t="shared" si="20"/>
        <v>94.322499999999991</v>
      </c>
      <c r="E47" s="123">
        <f t="shared" si="28"/>
        <v>1982.82554</v>
      </c>
      <c r="F47" s="34">
        <f t="shared" si="22"/>
        <v>20181.495599999998</v>
      </c>
      <c r="G47" s="110">
        <f t="shared" si="29"/>
        <v>6516.84</v>
      </c>
      <c r="H47" s="36">
        <f t="shared" si="21"/>
        <v>1131.8699999999999</v>
      </c>
      <c r="I47" s="34">
        <f>$I$43</f>
        <v>302.29740000000004</v>
      </c>
      <c r="J47" s="34">
        <f>SUM($F$43:$I$43)</f>
        <v>28132.502999999997</v>
      </c>
      <c r="K47" s="17"/>
      <c r="L47" s="34"/>
      <c r="M47" s="3"/>
    </row>
    <row r="48" spans="1:13" ht="14.1" customHeight="1" x14ac:dyDescent="0.2">
      <c r="A48" s="32" t="s">
        <v>134</v>
      </c>
      <c r="B48" s="33">
        <f t="shared" si="19"/>
        <v>1345.4330399999999</v>
      </c>
      <c r="C48" s="34">
        <f t="shared" si="27"/>
        <v>543.07000000000005</v>
      </c>
      <c r="D48" s="36">
        <f t="shared" si="20"/>
        <v>94.322499999999991</v>
      </c>
      <c r="E48" s="123">
        <f t="shared" si="28"/>
        <v>1982.82554</v>
      </c>
      <c r="F48" s="34">
        <f t="shared" si="22"/>
        <v>20181.495599999998</v>
      </c>
      <c r="G48" s="110">
        <f t="shared" si="29"/>
        <v>6516.84</v>
      </c>
      <c r="H48" s="36">
        <f>$D$4*12</f>
        <v>1131.8699999999999</v>
      </c>
      <c r="I48" s="34">
        <f>$I$36</f>
        <v>403.15499999999997</v>
      </c>
      <c r="J48" s="34">
        <f>SUM($F$41:$I$41)</f>
        <v>28233.360599999996</v>
      </c>
      <c r="K48" s="17"/>
      <c r="L48" s="34"/>
      <c r="M48" s="3"/>
    </row>
    <row r="49" spans="1:13" ht="14.1" customHeight="1" x14ac:dyDescent="0.2">
      <c r="A49" s="32" t="s">
        <v>135</v>
      </c>
      <c r="B49" s="33">
        <f t="shared" si="19"/>
        <v>1345.4330399999999</v>
      </c>
      <c r="C49" s="34">
        <f t="shared" si="27"/>
        <v>543.07000000000005</v>
      </c>
      <c r="D49" s="36">
        <f t="shared" si="20"/>
        <v>94.322499999999991</v>
      </c>
      <c r="E49" s="123">
        <f t="shared" si="28"/>
        <v>1982.82554</v>
      </c>
      <c r="F49" s="34">
        <f t="shared" si="22"/>
        <v>20181.495599999998</v>
      </c>
      <c r="G49" s="110">
        <f t="shared" si="29"/>
        <v>6516.84</v>
      </c>
      <c r="H49" s="36">
        <f t="shared" si="21"/>
        <v>1131.8699999999999</v>
      </c>
      <c r="I49" s="34">
        <f>$I$32</f>
        <v>604.57439999999997</v>
      </c>
      <c r="J49" s="34">
        <f>SUM($F$49:$I$49)</f>
        <v>28434.78</v>
      </c>
      <c r="K49" s="17"/>
      <c r="L49" s="34"/>
      <c r="M49" s="3"/>
    </row>
    <row r="50" spans="1:13" ht="14.1" customHeight="1" x14ac:dyDescent="0.2">
      <c r="A50" s="32" t="s">
        <v>136</v>
      </c>
      <c r="B50" s="33">
        <f t="shared" si="19"/>
        <v>1345.4330399999999</v>
      </c>
      <c r="C50" s="34">
        <f t="shared" si="27"/>
        <v>543.07000000000005</v>
      </c>
      <c r="D50" s="36">
        <f t="shared" si="20"/>
        <v>94.322499999999991</v>
      </c>
      <c r="E50" s="123">
        <f t="shared" si="28"/>
        <v>1982.82554</v>
      </c>
      <c r="F50" s="34">
        <f t="shared" si="22"/>
        <v>20181.495599999998</v>
      </c>
      <c r="G50" s="110">
        <f t="shared" si="29"/>
        <v>6516.84</v>
      </c>
      <c r="H50" s="36">
        <f t="shared" si="21"/>
        <v>1131.8699999999999</v>
      </c>
      <c r="I50" s="34">
        <f>$I$36</f>
        <v>403.15499999999997</v>
      </c>
      <c r="J50" s="34">
        <f>SUM($F$41:$I$41)</f>
        <v>28233.360599999996</v>
      </c>
      <c r="K50" s="17"/>
      <c r="L50" s="34"/>
      <c r="M50" s="3"/>
    </row>
    <row r="51" spans="1:13" ht="14.1" customHeight="1" x14ac:dyDescent="0.2">
      <c r="A51" s="32" t="s">
        <v>137</v>
      </c>
      <c r="B51" s="33">
        <f t="shared" si="19"/>
        <v>1345.4330399999999</v>
      </c>
      <c r="C51" s="34">
        <f t="shared" si="27"/>
        <v>543.07000000000005</v>
      </c>
      <c r="D51" s="36">
        <f t="shared" si="20"/>
        <v>94.322499999999991</v>
      </c>
      <c r="E51" s="123">
        <f t="shared" si="28"/>
        <v>1982.82554</v>
      </c>
      <c r="F51" s="34">
        <f t="shared" si="22"/>
        <v>20181.495599999998</v>
      </c>
      <c r="G51" s="110">
        <f t="shared" si="29"/>
        <v>6516.84</v>
      </c>
      <c r="H51" s="36">
        <f t="shared" si="21"/>
        <v>1131.8699999999999</v>
      </c>
      <c r="I51" s="34">
        <f>$I$43</f>
        <v>302.29740000000004</v>
      </c>
      <c r="J51" s="34">
        <f>SUM($F$43:$I$43)</f>
        <v>28132.502999999997</v>
      </c>
      <c r="K51" s="17"/>
      <c r="L51" s="34"/>
      <c r="M51" s="3"/>
    </row>
    <row r="52" spans="1:13" ht="14.1" customHeight="1" x14ac:dyDescent="0.2">
      <c r="A52" s="32" t="s">
        <v>138</v>
      </c>
      <c r="B52" s="33">
        <f t="shared" si="19"/>
        <v>1345.4330399999999</v>
      </c>
      <c r="C52" s="34">
        <f t="shared" si="27"/>
        <v>543.07000000000005</v>
      </c>
      <c r="D52" s="36">
        <f t="shared" si="20"/>
        <v>94.322499999999991</v>
      </c>
      <c r="E52" s="123">
        <f t="shared" si="28"/>
        <v>1982.82554</v>
      </c>
      <c r="F52" s="34">
        <f t="shared" si="22"/>
        <v>20181.495599999998</v>
      </c>
      <c r="G52" s="110">
        <f t="shared" si="29"/>
        <v>6516.84</v>
      </c>
      <c r="H52" s="36">
        <f t="shared" si="21"/>
        <v>1131.8699999999999</v>
      </c>
      <c r="I52" s="34">
        <f>$I$43</f>
        <v>302.29740000000004</v>
      </c>
      <c r="J52" s="34">
        <f>SUM($F$43:$I$43)</f>
        <v>28132.502999999997</v>
      </c>
      <c r="K52" s="17"/>
      <c r="L52" s="34"/>
      <c r="M52" s="3"/>
    </row>
    <row r="53" spans="1:13" ht="14.1" customHeight="1" x14ac:dyDescent="0.2">
      <c r="A53" s="32" t="s">
        <v>139</v>
      </c>
      <c r="B53" s="33">
        <f t="shared" si="19"/>
        <v>1345.4330399999999</v>
      </c>
      <c r="C53" s="34">
        <f>$G$34/12</f>
        <v>679.43815000000006</v>
      </c>
      <c r="D53" s="36">
        <f t="shared" si="20"/>
        <v>94.322499999999991</v>
      </c>
      <c r="E53" s="123">
        <f>SUM($B$53:$D$53)</f>
        <v>2119.1936900000001</v>
      </c>
      <c r="F53" s="34">
        <f t="shared" si="22"/>
        <v>20181.495599999998</v>
      </c>
      <c r="G53" s="110">
        <f>$G$34</f>
        <v>8153.2578000000003</v>
      </c>
      <c r="H53" s="36">
        <f t="shared" si="21"/>
        <v>1131.8699999999999</v>
      </c>
      <c r="I53" s="34">
        <f>$I$36</f>
        <v>403.15499999999997</v>
      </c>
      <c r="J53" s="34">
        <f>SUM($F$36:$I$36)</f>
        <v>29869.778399999996</v>
      </c>
      <c r="K53" s="17"/>
      <c r="L53" s="34"/>
      <c r="M53" s="3"/>
    </row>
    <row r="54" spans="1:13" ht="14.1" customHeight="1" x14ac:dyDescent="0.2">
      <c r="A54" s="32" t="s">
        <v>140</v>
      </c>
      <c r="B54" s="33">
        <f t="shared" si="19"/>
        <v>1345.4330399999999</v>
      </c>
      <c r="C54" s="34">
        <f>$G$34/12</f>
        <v>679.43815000000006</v>
      </c>
      <c r="D54" s="36">
        <f t="shared" si="20"/>
        <v>94.322499999999991</v>
      </c>
      <c r="E54" s="123">
        <f>SUM($B$53:$D$53)</f>
        <v>2119.1936900000001</v>
      </c>
      <c r="F54" s="34">
        <f t="shared" si="22"/>
        <v>20181.495599999998</v>
      </c>
      <c r="G54" s="110">
        <f>$G$34</f>
        <v>8153.2578000000003</v>
      </c>
      <c r="H54" s="36">
        <f t="shared" si="21"/>
        <v>1131.8699999999999</v>
      </c>
      <c r="I54" s="34">
        <f>$I$43</f>
        <v>302.29740000000004</v>
      </c>
      <c r="J54" s="34">
        <f>SUM($F$54:$I$54)</f>
        <v>29768.920799999996</v>
      </c>
      <c r="K54" s="17"/>
      <c r="L54" s="34"/>
      <c r="M54" s="3"/>
    </row>
    <row r="55" spans="1:13" ht="14.1" customHeight="1" x14ac:dyDescent="0.2">
      <c r="A55" s="32" t="s">
        <v>141</v>
      </c>
      <c r="B55" s="33">
        <f t="shared" si="19"/>
        <v>1345.4330399999999</v>
      </c>
      <c r="C55" s="34">
        <f>$G$38/12</f>
        <v>543.07000000000005</v>
      </c>
      <c r="D55" s="36">
        <f t="shared" si="20"/>
        <v>94.322499999999991</v>
      </c>
      <c r="E55" s="123">
        <f>SUM($B$38:$D$38)</f>
        <v>1982.82554</v>
      </c>
      <c r="F55" s="34">
        <f t="shared" si="22"/>
        <v>20181.495599999998</v>
      </c>
      <c r="G55" s="110">
        <f>$G$38</f>
        <v>6516.84</v>
      </c>
      <c r="H55" s="36">
        <f t="shared" si="21"/>
        <v>1131.8699999999999</v>
      </c>
      <c r="I55" s="34" t="s">
        <v>255</v>
      </c>
      <c r="J55" s="34">
        <f>SUM($F$43:$I$43)</f>
        <v>28132.502999999997</v>
      </c>
      <c r="K55" s="17"/>
      <c r="L55" s="34"/>
      <c r="M55" s="3"/>
    </row>
    <row r="56" spans="1:13" ht="14.1" customHeight="1" x14ac:dyDescent="0.2">
      <c r="A56" s="32"/>
      <c r="B56" s="39"/>
      <c r="C56" s="39"/>
      <c r="D56" s="40"/>
      <c r="E56" s="41"/>
      <c r="F56" s="34"/>
      <c r="G56" s="42"/>
      <c r="H56" s="40"/>
      <c r="I56" s="39"/>
      <c r="J56" s="43"/>
      <c r="K56" s="17"/>
      <c r="L56" s="39"/>
      <c r="M56" s="3"/>
    </row>
    <row r="57" spans="1:13" ht="14.1" customHeight="1" x14ac:dyDescent="0.2">
      <c r="A57" s="44" t="s">
        <v>84</v>
      </c>
      <c r="B57" s="43" t="s">
        <v>4</v>
      </c>
      <c r="C57" s="43" t="s">
        <v>85</v>
      </c>
      <c r="D57" s="43" t="s">
        <v>86</v>
      </c>
      <c r="E57" s="43" t="s">
        <v>68</v>
      </c>
      <c r="F57" s="43" t="s">
        <v>4</v>
      </c>
      <c r="G57" s="43" t="s">
        <v>85</v>
      </c>
      <c r="H57" s="43" t="s">
        <v>86</v>
      </c>
      <c r="I57" s="43" t="s">
        <v>87</v>
      </c>
      <c r="J57" s="43" t="s">
        <v>68</v>
      </c>
      <c r="K57" s="43" t="s">
        <v>88</v>
      </c>
      <c r="L57" s="43" t="s">
        <v>89</v>
      </c>
      <c r="M57" s="3"/>
    </row>
    <row r="58" spans="1:13" ht="14.1" customHeight="1" x14ac:dyDescent="0.2">
      <c r="A58" s="44" t="s">
        <v>142</v>
      </c>
      <c r="B58" s="43" t="s">
        <v>91</v>
      </c>
      <c r="C58" s="43" t="s">
        <v>91</v>
      </c>
      <c r="D58" s="43" t="s">
        <v>91</v>
      </c>
      <c r="E58" s="43" t="s">
        <v>91</v>
      </c>
      <c r="F58" s="43" t="s">
        <v>92</v>
      </c>
      <c r="G58" s="43" t="s">
        <v>92</v>
      </c>
      <c r="H58" s="43" t="s">
        <v>92</v>
      </c>
      <c r="I58" s="43" t="s">
        <v>92</v>
      </c>
      <c r="J58" s="43" t="s">
        <v>92</v>
      </c>
      <c r="K58" s="43">
        <v>2024</v>
      </c>
      <c r="L58" s="43" t="s">
        <v>93</v>
      </c>
      <c r="M58" s="3"/>
    </row>
    <row r="59" spans="1:13" ht="14.1" customHeight="1" x14ac:dyDescent="0.2">
      <c r="A59" s="32" t="s">
        <v>143</v>
      </c>
      <c r="B59" s="33">
        <f>$F$59/15</f>
        <v>1176.9691600000001</v>
      </c>
      <c r="C59" s="34">
        <f>$G$59/12</f>
        <v>370.11804999999998</v>
      </c>
      <c r="D59" s="36">
        <f>$H$4/12</f>
        <v>94.322499999999991</v>
      </c>
      <c r="E59" s="123">
        <f>SUM($B$59:$D$59)</f>
        <v>1641.4097100000001</v>
      </c>
      <c r="F59" s="34">
        <f>17308.37*102/100</f>
        <v>17654.537400000001</v>
      </c>
      <c r="G59" s="110">
        <f>4354.33*102/100</f>
        <v>4441.4165999999996</v>
      </c>
      <c r="H59" s="36">
        <f>$D$4*12</f>
        <v>1131.8699999999999</v>
      </c>
      <c r="I59" s="34">
        <f>$I$32</f>
        <v>604.57439999999997</v>
      </c>
      <c r="J59" s="34">
        <f>SUM($F$59:$I$59)</f>
        <v>23832.398400000002</v>
      </c>
      <c r="K59" s="119">
        <f>K32</f>
        <v>30.5184</v>
      </c>
      <c r="L59" s="34">
        <v>0</v>
      </c>
      <c r="M59" s="3"/>
    </row>
    <row r="60" spans="1:13" ht="14.1" customHeight="1" x14ac:dyDescent="0.2">
      <c r="A60" s="32" t="s">
        <v>144</v>
      </c>
      <c r="B60" s="33">
        <f t="shared" ref="B60:B75" si="31">$F$59/15</f>
        <v>1176.9691600000001</v>
      </c>
      <c r="C60" s="34">
        <f t="shared" ref="C60:C75" si="32">$G$59/12</f>
        <v>370.11804999999998</v>
      </c>
      <c r="D60" s="36">
        <f t="shared" ref="D60:D75" si="33">$H$4/12</f>
        <v>94.322499999999991</v>
      </c>
      <c r="E60" s="123">
        <f t="shared" ref="E60:E75" si="34">SUM($B$59:$D$59)</f>
        <v>1641.4097100000001</v>
      </c>
      <c r="F60" s="34">
        <f>$F$59</f>
        <v>17654.537400000001</v>
      </c>
      <c r="G60" s="110">
        <f>$G$59</f>
        <v>4441.4165999999996</v>
      </c>
      <c r="H60" s="36">
        <f t="shared" ref="H60:H75" si="35">$D$4*12</f>
        <v>1131.8699999999999</v>
      </c>
      <c r="I60" s="34">
        <f>$I$32</f>
        <v>604.57439999999997</v>
      </c>
      <c r="J60" s="34">
        <f>SUM($F$59:$I$59)</f>
        <v>23832.398400000002</v>
      </c>
      <c r="K60" s="45" t="s">
        <v>88</v>
      </c>
      <c r="L60" s="45" t="s">
        <v>89</v>
      </c>
      <c r="M60" s="3"/>
    </row>
    <row r="61" spans="1:13" ht="14.1" customHeight="1" x14ac:dyDescent="0.2">
      <c r="A61" s="32" t="s">
        <v>145</v>
      </c>
      <c r="B61" s="33">
        <f t="shared" si="31"/>
        <v>1176.9691600000001</v>
      </c>
      <c r="C61" s="34">
        <f t="shared" si="32"/>
        <v>370.11804999999998</v>
      </c>
      <c r="D61" s="36">
        <f t="shared" si="33"/>
        <v>94.322499999999991</v>
      </c>
      <c r="E61" s="123">
        <f t="shared" si="34"/>
        <v>1641.4097100000001</v>
      </c>
      <c r="F61" s="34">
        <f t="shared" ref="F61:F75" si="36">$F$59</f>
        <v>17654.537400000001</v>
      </c>
      <c r="G61" s="110">
        <f t="shared" ref="G61:G75" si="37">$G$59</f>
        <v>4441.4165999999996</v>
      </c>
      <c r="H61" s="36">
        <f t="shared" si="35"/>
        <v>1131.8699999999999</v>
      </c>
      <c r="I61" s="34">
        <f>$I$32</f>
        <v>604.57439999999997</v>
      </c>
      <c r="J61" s="34">
        <f>SUM($F$59:$I$59)</f>
        <v>23832.398400000002</v>
      </c>
      <c r="K61" s="45">
        <f>K3</f>
        <v>2024</v>
      </c>
      <c r="L61" s="45" t="s">
        <v>93</v>
      </c>
      <c r="M61" s="3"/>
    </row>
    <row r="62" spans="1:13" ht="14.1" customHeight="1" x14ac:dyDescent="0.2">
      <c r="A62" s="32" t="s">
        <v>146</v>
      </c>
      <c r="B62" s="33">
        <f t="shared" si="31"/>
        <v>1176.9691600000001</v>
      </c>
      <c r="C62" s="34">
        <f t="shared" si="32"/>
        <v>370.11804999999998</v>
      </c>
      <c r="D62" s="36">
        <f t="shared" si="33"/>
        <v>94.322499999999991</v>
      </c>
      <c r="E62" s="123">
        <f t="shared" si="34"/>
        <v>1641.4097100000001</v>
      </c>
      <c r="F62" s="34">
        <f t="shared" si="36"/>
        <v>17654.537400000001</v>
      </c>
      <c r="G62" s="110">
        <f t="shared" si="37"/>
        <v>4441.4165999999996</v>
      </c>
      <c r="H62" s="36">
        <f t="shared" si="35"/>
        <v>1131.8699999999999</v>
      </c>
      <c r="I62" s="34">
        <f>$I$17</f>
        <v>403.15499999999997</v>
      </c>
      <c r="J62" s="34">
        <f>SUM($F$62:$I$62)</f>
        <v>23630.978999999999</v>
      </c>
      <c r="K62" s="126">
        <f>19.99*102/100</f>
        <v>20.389799999999997</v>
      </c>
      <c r="L62" s="34">
        <v>0</v>
      </c>
      <c r="M62" s="3"/>
    </row>
    <row r="63" spans="1:13" ht="14.1" customHeight="1" x14ac:dyDescent="0.2">
      <c r="A63" s="32" t="s">
        <v>147</v>
      </c>
      <c r="B63" s="33">
        <f t="shared" si="31"/>
        <v>1176.9691600000001</v>
      </c>
      <c r="C63" s="34">
        <f t="shared" si="32"/>
        <v>370.11804999999998</v>
      </c>
      <c r="D63" s="36">
        <f t="shared" si="33"/>
        <v>94.322499999999991</v>
      </c>
      <c r="E63" s="123">
        <f t="shared" si="34"/>
        <v>1641.4097100000001</v>
      </c>
      <c r="F63" s="34">
        <f t="shared" si="36"/>
        <v>17654.537400000001</v>
      </c>
      <c r="G63" s="110">
        <f t="shared" si="37"/>
        <v>4441.4165999999996</v>
      </c>
      <c r="H63" s="36">
        <f t="shared" si="35"/>
        <v>1131.8699999999999</v>
      </c>
      <c r="I63" s="34">
        <f>$I$62</f>
        <v>403.15499999999997</v>
      </c>
      <c r="J63" s="34">
        <f>SUM($F$62:$I$62)</f>
        <v>23630.978999999999</v>
      </c>
      <c r="K63" s="17"/>
      <c r="L63" s="34"/>
      <c r="M63" s="3"/>
    </row>
    <row r="64" spans="1:13" ht="14.1" customHeight="1" x14ac:dyDescent="0.2">
      <c r="A64" s="32" t="s">
        <v>148</v>
      </c>
      <c r="B64" s="33">
        <f t="shared" si="31"/>
        <v>1176.9691600000001</v>
      </c>
      <c r="C64" s="34">
        <f t="shared" si="32"/>
        <v>370.11804999999998</v>
      </c>
      <c r="D64" s="36">
        <f t="shared" si="33"/>
        <v>94.322499999999991</v>
      </c>
      <c r="E64" s="123">
        <f t="shared" si="34"/>
        <v>1641.4097100000001</v>
      </c>
      <c r="F64" s="34">
        <f t="shared" si="36"/>
        <v>17654.537400000001</v>
      </c>
      <c r="G64" s="110">
        <f t="shared" si="37"/>
        <v>4441.4165999999996</v>
      </c>
      <c r="H64" s="36">
        <f t="shared" si="35"/>
        <v>1131.8699999999999</v>
      </c>
      <c r="I64" s="34">
        <f>$I$62</f>
        <v>403.15499999999997</v>
      </c>
      <c r="J64" s="34">
        <f>SUM($F$62:$I$62)</f>
        <v>23630.978999999999</v>
      </c>
      <c r="K64" s="17"/>
      <c r="L64" s="34"/>
      <c r="M64" s="3"/>
    </row>
    <row r="65" spans="1:13" ht="14.1" customHeight="1" x14ac:dyDescent="0.2">
      <c r="A65" s="32" t="s">
        <v>149</v>
      </c>
      <c r="B65" s="33">
        <f t="shared" si="31"/>
        <v>1176.9691600000001</v>
      </c>
      <c r="C65" s="34">
        <f t="shared" si="32"/>
        <v>370.11804999999998</v>
      </c>
      <c r="D65" s="36">
        <f t="shared" si="33"/>
        <v>94.322499999999991</v>
      </c>
      <c r="E65" s="123">
        <f t="shared" si="34"/>
        <v>1641.4097100000001</v>
      </c>
      <c r="F65" s="34">
        <f t="shared" si="36"/>
        <v>17654.537400000001</v>
      </c>
      <c r="G65" s="110">
        <f t="shared" si="37"/>
        <v>4441.4165999999996</v>
      </c>
      <c r="H65" s="36">
        <f t="shared" si="35"/>
        <v>1131.8699999999999</v>
      </c>
      <c r="I65" s="34">
        <f>$I$32</f>
        <v>604.57439999999997</v>
      </c>
      <c r="J65" s="34">
        <f>SUM($F$59:$I$59)</f>
        <v>23832.398400000002</v>
      </c>
      <c r="K65" s="17"/>
      <c r="L65" s="34"/>
      <c r="M65" s="3"/>
    </row>
    <row r="66" spans="1:13" ht="14.1" customHeight="1" x14ac:dyDescent="0.2">
      <c r="A66" s="32" t="s">
        <v>150</v>
      </c>
      <c r="B66" s="33">
        <f t="shared" si="31"/>
        <v>1176.9691600000001</v>
      </c>
      <c r="C66" s="34">
        <f t="shared" si="32"/>
        <v>370.11804999999998</v>
      </c>
      <c r="D66" s="36">
        <f t="shared" si="33"/>
        <v>94.322499999999991</v>
      </c>
      <c r="E66" s="123">
        <f t="shared" si="34"/>
        <v>1641.4097100000001</v>
      </c>
      <c r="F66" s="34">
        <f t="shared" si="36"/>
        <v>17654.537400000001</v>
      </c>
      <c r="G66" s="110">
        <f t="shared" si="37"/>
        <v>4441.4165999999996</v>
      </c>
      <c r="H66" s="36">
        <f t="shared" si="35"/>
        <v>1131.8699999999999</v>
      </c>
      <c r="I66" s="34">
        <f>$I$62</f>
        <v>403.15499999999997</v>
      </c>
      <c r="J66" s="34">
        <f>SUM($F$62:$I$62)</f>
        <v>23630.978999999999</v>
      </c>
      <c r="K66" s="17"/>
      <c r="L66" s="34"/>
      <c r="M66" s="3"/>
    </row>
    <row r="67" spans="1:13" ht="14.1" customHeight="1" x14ac:dyDescent="0.2">
      <c r="A67" s="32" t="s">
        <v>151</v>
      </c>
      <c r="B67" s="33">
        <f t="shared" si="31"/>
        <v>1176.9691600000001</v>
      </c>
      <c r="C67" s="34">
        <f t="shared" si="32"/>
        <v>370.11804999999998</v>
      </c>
      <c r="D67" s="36">
        <f t="shared" si="33"/>
        <v>94.322499999999991</v>
      </c>
      <c r="E67" s="123">
        <f t="shared" si="34"/>
        <v>1641.4097100000001</v>
      </c>
      <c r="F67" s="34">
        <f t="shared" si="36"/>
        <v>17654.537400000001</v>
      </c>
      <c r="G67" s="110">
        <f t="shared" si="37"/>
        <v>4441.4165999999996</v>
      </c>
      <c r="H67" s="36">
        <f t="shared" si="35"/>
        <v>1131.8699999999999</v>
      </c>
      <c r="I67" s="34">
        <f>$I$32</f>
        <v>604.57439999999997</v>
      </c>
      <c r="J67" s="34">
        <f>SUM($F$59:$I$59)</f>
        <v>23832.398400000002</v>
      </c>
      <c r="K67" s="17"/>
      <c r="L67" s="34"/>
      <c r="M67" s="3"/>
    </row>
    <row r="68" spans="1:13" ht="14.1" customHeight="1" x14ac:dyDescent="0.2">
      <c r="A68" s="32" t="s">
        <v>152</v>
      </c>
      <c r="B68" s="33">
        <f t="shared" si="31"/>
        <v>1176.9691600000001</v>
      </c>
      <c r="C68" s="34">
        <f t="shared" si="32"/>
        <v>370.11804999999998</v>
      </c>
      <c r="D68" s="36">
        <f t="shared" si="33"/>
        <v>94.322499999999991</v>
      </c>
      <c r="E68" s="123">
        <f t="shared" si="34"/>
        <v>1641.4097100000001</v>
      </c>
      <c r="F68" s="34">
        <f t="shared" si="36"/>
        <v>17654.537400000001</v>
      </c>
      <c r="G68" s="110">
        <f t="shared" si="37"/>
        <v>4441.4165999999996</v>
      </c>
      <c r="H68" s="36">
        <f t="shared" si="35"/>
        <v>1131.8699999999999</v>
      </c>
      <c r="I68" s="34">
        <f>$I$62</f>
        <v>403.15499999999997</v>
      </c>
      <c r="J68" s="34">
        <f>SUM($F$62:$I$62)</f>
        <v>23630.978999999999</v>
      </c>
      <c r="K68" s="17"/>
      <c r="L68" s="34"/>
      <c r="M68" s="3"/>
    </row>
    <row r="69" spans="1:13" ht="14.1" customHeight="1" x14ac:dyDescent="0.2">
      <c r="A69" s="32" t="s">
        <v>153</v>
      </c>
      <c r="B69" s="33">
        <f t="shared" si="31"/>
        <v>1176.9691600000001</v>
      </c>
      <c r="C69" s="34">
        <f t="shared" si="32"/>
        <v>370.11804999999998</v>
      </c>
      <c r="D69" s="36">
        <f t="shared" si="33"/>
        <v>94.322499999999991</v>
      </c>
      <c r="E69" s="123">
        <f t="shared" si="34"/>
        <v>1641.4097100000001</v>
      </c>
      <c r="F69" s="34">
        <f t="shared" si="36"/>
        <v>17654.537400000001</v>
      </c>
      <c r="G69" s="110">
        <f t="shared" si="37"/>
        <v>4441.4165999999996</v>
      </c>
      <c r="H69" s="36">
        <f t="shared" si="35"/>
        <v>1131.8699999999999</v>
      </c>
      <c r="I69" s="34">
        <f>$I$62</f>
        <v>403.15499999999997</v>
      </c>
      <c r="J69" s="34">
        <f>SUM($F$62:$I$62)</f>
        <v>23630.978999999999</v>
      </c>
      <c r="K69" s="17"/>
      <c r="L69" s="34"/>
      <c r="M69" s="3"/>
    </row>
    <row r="70" spans="1:13" ht="14.1" customHeight="1" x14ac:dyDescent="0.2">
      <c r="A70" s="32" t="s">
        <v>154</v>
      </c>
      <c r="B70" s="33">
        <f t="shared" si="31"/>
        <v>1176.9691600000001</v>
      </c>
      <c r="C70" s="34">
        <f t="shared" si="32"/>
        <v>370.11804999999998</v>
      </c>
      <c r="D70" s="36">
        <f t="shared" si="33"/>
        <v>94.322499999999991</v>
      </c>
      <c r="E70" s="123">
        <f t="shared" si="34"/>
        <v>1641.4097100000001</v>
      </c>
      <c r="F70" s="34">
        <f t="shared" si="36"/>
        <v>17654.537400000001</v>
      </c>
      <c r="G70" s="110">
        <f t="shared" si="37"/>
        <v>4441.4165999999996</v>
      </c>
      <c r="H70" s="36">
        <f t="shared" si="35"/>
        <v>1131.8699999999999</v>
      </c>
      <c r="I70" s="34">
        <f>$I$32</f>
        <v>604.57439999999997</v>
      </c>
      <c r="J70" s="34">
        <f>SUM($F$59:$I$59)</f>
        <v>23832.398400000002</v>
      </c>
      <c r="K70" s="17"/>
      <c r="L70" s="34"/>
      <c r="M70" s="3"/>
    </row>
    <row r="71" spans="1:13" ht="14.1" customHeight="1" x14ac:dyDescent="0.2">
      <c r="A71" s="32" t="s">
        <v>155</v>
      </c>
      <c r="B71" s="33">
        <f t="shared" si="31"/>
        <v>1176.9691600000001</v>
      </c>
      <c r="C71" s="34">
        <f t="shared" si="32"/>
        <v>370.11804999999998</v>
      </c>
      <c r="D71" s="36">
        <f t="shared" si="33"/>
        <v>94.322499999999991</v>
      </c>
      <c r="E71" s="123">
        <f t="shared" si="34"/>
        <v>1641.4097100000001</v>
      </c>
      <c r="F71" s="34">
        <f t="shared" si="36"/>
        <v>17654.537400000001</v>
      </c>
      <c r="G71" s="110">
        <f t="shared" si="37"/>
        <v>4441.4165999999996</v>
      </c>
      <c r="H71" s="36">
        <f t="shared" si="35"/>
        <v>1131.8699999999999</v>
      </c>
      <c r="I71" s="34">
        <f>$I$32</f>
        <v>604.57439999999997</v>
      </c>
      <c r="J71" s="34">
        <f>SUM($F$59:$I$59)</f>
        <v>23832.398400000002</v>
      </c>
      <c r="K71" s="17"/>
      <c r="L71" s="34"/>
      <c r="M71" s="3"/>
    </row>
    <row r="72" spans="1:13" ht="14.1" customHeight="1" x14ac:dyDescent="0.2">
      <c r="A72" s="32" t="s">
        <v>156</v>
      </c>
      <c r="B72" s="33">
        <f t="shared" si="31"/>
        <v>1176.9691600000001</v>
      </c>
      <c r="C72" s="34">
        <f t="shared" si="32"/>
        <v>370.11804999999998</v>
      </c>
      <c r="D72" s="36">
        <f t="shared" si="33"/>
        <v>94.322499999999991</v>
      </c>
      <c r="E72" s="123">
        <f t="shared" si="34"/>
        <v>1641.4097100000001</v>
      </c>
      <c r="F72" s="34">
        <f t="shared" si="36"/>
        <v>17654.537400000001</v>
      </c>
      <c r="G72" s="110">
        <f t="shared" si="37"/>
        <v>4441.4165999999996</v>
      </c>
      <c r="H72" s="36">
        <f t="shared" si="35"/>
        <v>1131.8699999999999</v>
      </c>
      <c r="I72" s="34">
        <f>$I$62</f>
        <v>403.15499999999997</v>
      </c>
      <c r="J72" s="34">
        <f>SUM($F$62:$I$62)</f>
        <v>23630.978999999999</v>
      </c>
      <c r="K72" s="17"/>
      <c r="L72" s="34"/>
      <c r="M72" s="3"/>
    </row>
    <row r="73" spans="1:13" ht="14.1" customHeight="1" x14ac:dyDescent="0.2">
      <c r="A73" s="32" t="s">
        <v>157</v>
      </c>
      <c r="B73" s="33">
        <f t="shared" si="31"/>
        <v>1176.9691600000001</v>
      </c>
      <c r="C73" s="34">
        <f t="shared" si="32"/>
        <v>370.11804999999998</v>
      </c>
      <c r="D73" s="36">
        <f t="shared" si="33"/>
        <v>94.322499999999991</v>
      </c>
      <c r="E73" s="123">
        <f t="shared" si="34"/>
        <v>1641.4097100000001</v>
      </c>
      <c r="F73" s="34">
        <f t="shared" si="36"/>
        <v>17654.537400000001</v>
      </c>
      <c r="G73" s="110">
        <f t="shared" si="37"/>
        <v>4441.4165999999996</v>
      </c>
      <c r="H73" s="36">
        <f t="shared" si="35"/>
        <v>1131.8699999999999</v>
      </c>
      <c r="I73" s="34">
        <f>$I$32</f>
        <v>604.57439999999997</v>
      </c>
      <c r="J73" s="34">
        <f>SUM($F$59:$I$59)</f>
        <v>23832.398400000002</v>
      </c>
      <c r="K73" s="17"/>
      <c r="L73" s="34"/>
      <c r="M73" s="3"/>
    </row>
    <row r="74" spans="1:13" ht="14.1" customHeight="1" x14ac:dyDescent="0.2">
      <c r="A74" s="32" t="s">
        <v>158</v>
      </c>
      <c r="B74" s="33">
        <f t="shared" si="31"/>
        <v>1176.9691600000001</v>
      </c>
      <c r="C74" s="34">
        <f t="shared" si="32"/>
        <v>370.11804999999998</v>
      </c>
      <c r="D74" s="36">
        <f t="shared" si="33"/>
        <v>94.322499999999991</v>
      </c>
      <c r="E74" s="123">
        <f t="shared" si="34"/>
        <v>1641.4097100000001</v>
      </c>
      <c r="F74" s="34">
        <f t="shared" si="36"/>
        <v>17654.537400000001</v>
      </c>
      <c r="G74" s="110">
        <f t="shared" si="37"/>
        <v>4441.4165999999996</v>
      </c>
      <c r="H74" s="36">
        <f t="shared" si="35"/>
        <v>1131.8699999999999</v>
      </c>
      <c r="I74" s="34">
        <f>$I$4</f>
        <v>302.29740000000004</v>
      </c>
      <c r="J74" s="34">
        <f>SUM($F$74:$I$74)</f>
        <v>23530.1214</v>
      </c>
      <c r="K74" s="17"/>
      <c r="L74" s="34"/>
      <c r="M74" s="3"/>
    </row>
    <row r="75" spans="1:13" ht="14.1" customHeight="1" x14ac:dyDescent="0.2">
      <c r="A75" s="32" t="s">
        <v>159</v>
      </c>
      <c r="B75" s="33">
        <f t="shared" si="31"/>
        <v>1176.9691600000001</v>
      </c>
      <c r="C75" s="34">
        <f t="shared" si="32"/>
        <v>370.11804999999998</v>
      </c>
      <c r="D75" s="36">
        <f t="shared" si="33"/>
        <v>94.322499999999991</v>
      </c>
      <c r="E75" s="123">
        <f t="shared" si="34"/>
        <v>1641.4097100000001</v>
      </c>
      <c r="F75" s="34">
        <f t="shared" si="36"/>
        <v>17654.537400000001</v>
      </c>
      <c r="G75" s="110">
        <f t="shared" si="37"/>
        <v>4441.4165999999996</v>
      </c>
      <c r="H75" s="36">
        <f t="shared" si="35"/>
        <v>1131.8699999999999</v>
      </c>
      <c r="I75" s="34">
        <f>$I$74</f>
        <v>302.29740000000004</v>
      </c>
      <c r="J75" s="34">
        <f>SUM($F$74:$I$74)</f>
        <v>23530.1214</v>
      </c>
      <c r="K75" s="17"/>
      <c r="L75" s="34"/>
      <c r="M75" s="3"/>
    </row>
    <row r="76" spans="1:13" ht="14.1" customHeight="1" x14ac:dyDescent="0.2">
      <c r="A76" s="32"/>
      <c r="B76" s="33"/>
      <c r="C76" s="34"/>
      <c r="D76" s="36"/>
      <c r="E76" s="35"/>
      <c r="F76" s="34"/>
      <c r="G76" s="110"/>
      <c r="H76" s="36"/>
      <c r="I76" s="34"/>
      <c r="J76" s="37"/>
      <c r="K76" s="17"/>
      <c r="L76" s="34"/>
      <c r="M76" s="3"/>
    </row>
    <row r="77" spans="1:13" ht="14.1" customHeight="1" x14ac:dyDescent="0.2">
      <c r="A77" s="32"/>
      <c r="B77" s="33"/>
      <c r="C77" s="34"/>
      <c r="D77" s="36"/>
      <c r="E77" s="35"/>
      <c r="F77" s="34"/>
      <c r="G77" s="110"/>
      <c r="H77" s="36"/>
      <c r="I77" s="34"/>
      <c r="J77" s="37"/>
      <c r="K77" s="17"/>
      <c r="L77" s="34"/>
      <c r="M77" s="3"/>
    </row>
    <row r="78" spans="1:13" ht="14.1" customHeight="1" x14ac:dyDescent="0.2">
      <c r="A78" s="32"/>
      <c r="B78" s="39"/>
      <c r="C78" s="39"/>
      <c r="D78" s="40"/>
      <c r="E78" s="41"/>
      <c r="F78" s="34"/>
      <c r="G78" s="46"/>
      <c r="H78" s="40"/>
      <c r="I78" s="39"/>
      <c r="J78" s="43"/>
      <c r="K78" s="17"/>
      <c r="L78" s="34"/>
      <c r="M78" s="3"/>
    </row>
    <row r="79" spans="1:13" ht="14.1" customHeight="1" x14ac:dyDescent="0.2">
      <c r="A79" s="44" t="s">
        <v>84</v>
      </c>
      <c r="B79" s="43" t="s">
        <v>4</v>
      </c>
      <c r="C79" s="43" t="s">
        <v>85</v>
      </c>
      <c r="D79" s="43" t="s">
        <v>86</v>
      </c>
      <c r="E79" s="43" t="s">
        <v>68</v>
      </c>
      <c r="F79" s="43" t="s">
        <v>4</v>
      </c>
      <c r="G79" s="43" t="s">
        <v>85</v>
      </c>
      <c r="H79" s="43" t="s">
        <v>86</v>
      </c>
      <c r="I79" s="43" t="s">
        <v>87</v>
      </c>
      <c r="J79" s="43" t="s">
        <v>68</v>
      </c>
      <c r="K79" s="43" t="s">
        <v>88</v>
      </c>
      <c r="L79" s="43" t="s">
        <v>89</v>
      </c>
      <c r="M79" s="3"/>
    </row>
    <row r="80" spans="1:13" ht="14.1" customHeight="1" x14ac:dyDescent="0.2">
      <c r="A80" s="44" t="s">
        <v>160</v>
      </c>
      <c r="B80" s="43" t="s">
        <v>91</v>
      </c>
      <c r="C80" s="43" t="s">
        <v>91</v>
      </c>
      <c r="D80" s="43" t="s">
        <v>91</v>
      </c>
      <c r="E80" s="43" t="s">
        <v>91</v>
      </c>
      <c r="F80" s="43" t="s">
        <v>92</v>
      </c>
      <c r="G80" s="43" t="s">
        <v>92</v>
      </c>
      <c r="H80" s="43" t="s">
        <v>92</v>
      </c>
      <c r="I80" s="43" t="s">
        <v>92</v>
      </c>
      <c r="J80" s="43" t="s">
        <v>92</v>
      </c>
      <c r="K80" s="43">
        <f>K3</f>
        <v>2024</v>
      </c>
      <c r="L80" s="43" t="s">
        <v>93</v>
      </c>
      <c r="M80" s="3"/>
    </row>
    <row r="81" spans="1:17" ht="14.1" customHeight="1" x14ac:dyDescent="0.2">
      <c r="A81" s="47" t="s">
        <v>161</v>
      </c>
      <c r="B81" s="33">
        <f>$F$81/15</f>
        <v>1112.88528</v>
      </c>
      <c r="C81" s="34">
        <f>G81/12</f>
        <v>325.72425000000004</v>
      </c>
      <c r="D81" s="36">
        <f>$H$4/12</f>
        <v>94.322499999999991</v>
      </c>
      <c r="E81" s="123">
        <f>SUM($B$81:$D$81)</f>
        <v>1532.9320299999999</v>
      </c>
      <c r="F81" s="34">
        <f>16365.96*102/100</f>
        <v>16693.279200000001</v>
      </c>
      <c r="G81" s="110">
        <f>3832.05*102/100</f>
        <v>3908.6910000000003</v>
      </c>
      <c r="H81" s="36">
        <f>$D$4*12</f>
        <v>1131.8699999999999</v>
      </c>
      <c r="I81" s="34">
        <f>$I$32</f>
        <v>604.57439999999997</v>
      </c>
      <c r="J81" s="34">
        <f>SUM($F$81:$I$81)</f>
        <v>22338.4146</v>
      </c>
      <c r="K81" s="119">
        <f>15.02*102/100</f>
        <v>15.320399999999999</v>
      </c>
      <c r="L81" s="34">
        <v>0</v>
      </c>
      <c r="M81" s="3"/>
      <c r="N81" s="11"/>
    </row>
    <row r="82" spans="1:17" ht="14.1" customHeight="1" x14ac:dyDescent="0.2">
      <c r="A82" s="32" t="s">
        <v>162</v>
      </c>
      <c r="B82" s="33">
        <f t="shared" ref="B82:B83" si="38">$F$81/15</f>
        <v>1112.88528</v>
      </c>
      <c r="C82" s="34">
        <f>$G$82/12</f>
        <v>228.22330000000002</v>
      </c>
      <c r="D82" s="36">
        <f t="shared" ref="D82:D83" si="39">$H$4/12</f>
        <v>94.322499999999991</v>
      </c>
      <c r="E82" s="123">
        <f>SUM($B$82:$D$82)</f>
        <v>1435.4310800000001</v>
      </c>
      <c r="F82" s="34">
        <f>$F$81</f>
        <v>16693.279200000001</v>
      </c>
      <c r="G82" s="110">
        <f>2684.98*102/100</f>
        <v>2738.6796000000004</v>
      </c>
      <c r="H82" s="36">
        <f t="shared" ref="H82:H83" si="40">$D$4*12</f>
        <v>1131.8699999999999</v>
      </c>
      <c r="I82" s="34">
        <f>$I$32</f>
        <v>604.57439999999997</v>
      </c>
      <c r="J82" s="34">
        <f>SUM($F$82:$I$82)</f>
        <v>21168.403200000001</v>
      </c>
      <c r="K82" s="17"/>
      <c r="L82" s="34"/>
      <c r="M82" s="3"/>
      <c r="N82" s="113"/>
    </row>
    <row r="83" spans="1:17" ht="14.1" customHeight="1" x14ac:dyDescent="0.2">
      <c r="A83" s="32" t="s">
        <v>163</v>
      </c>
      <c r="B83" s="33">
        <f t="shared" si="38"/>
        <v>1112.88528</v>
      </c>
      <c r="C83" s="34">
        <f>$G$82/12</f>
        <v>228.22330000000002</v>
      </c>
      <c r="D83" s="36">
        <f t="shared" si="39"/>
        <v>94.322499999999991</v>
      </c>
      <c r="E83" s="123">
        <f>SUM($B$82:$D$82)</f>
        <v>1435.4310800000001</v>
      </c>
      <c r="F83" s="34">
        <f>$F$81</f>
        <v>16693.279200000001</v>
      </c>
      <c r="G83" s="110">
        <f>$G$82</f>
        <v>2738.6796000000004</v>
      </c>
      <c r="H83" s="36">
        <f t="shared" si="40"/>
        <v>1131.8699999999999</v>
      </c>
      <c r="I83" s="34">
        <f>$I$32</f>
        <v>604.57439999999997</v>
      </c>
      <c r="J83" s="34">
        <f>SUM($F$82:$I$82)</f>
        <v>21168.403200000001</v>
      </c>
      <c r="K83" s="17"/>
      <c r="L83" s="34"/>
      <c r="M83" s="3"/>
    </row>
    <row r="84" spans="1:17" ht="14.1" customHeight="1" thickBot="1" x14ac:dyDescent="0.25">
      <c r="A84" s="48"/>
      <c r="B84" s="40"/>
      <c r="C84" s="17"/>
      <c r="D84" s="40"/>
      <c r="E84" s="41"/>
      <c r="F84" s="40"/>
      <c r="G84" s="49"/>
      <c r="H84" s="40"/>
      <c r="I84" s="40"/>
      <c r="J84" s="45"/>
      <c r="K84" s="17"/>
      <c r="L84" s="34"/>
      <c r="M84" s="3"/>
    </row>
    <row r="85" spans="1:17" ht="14.1" customHeight="1" thickBot="1" x14ac:dyDescent="0.25">
      <c r="A85" s="50" t="s">
        <v>164</v>
      </c>
      <c r="B85" s="51">
        <v>0</v>
      </c>
      <c r="C85" s="52"/>
      <c r="D85" s="40"/>
      <c r="E85" s="41"/>
      <c r="F85" s="40"/>
      <c r="G85" s="49"/>
      <c r="H85" s="40"/>
      <c r="I85" s="40"/>
      <c r="J85" s="45"/>
      <c r="K85" s="17"/>
      <c r="L85" s="40"/>
      <c r="M85" s="3"/>
    </row>
    <row r="86" spans="1:17" ht="14.1" customHeight="1" x14ac:dyDescent="0.2">
      <c r="A86" s="53" t="s">
        <v>165</v>
      </c>
      <c r="B86" s="31" t="s">
        <v>166</v>
      </c>
      <c r="C86" s="54" t="s">
        <v>167</v>
      </c>
      <c r="D86" s="40"/>
      <c r="E86" s="55" t="s">
        <v>168</v>
      </c>
      <c r="F86" s="56" t="s">
        <v>169</v>
      </c>
      <c r="G86" s="56"/>
      <c r="H86" s="56"/>
      <c r="I86" s="56"/>
      <c r="J86" s="57"/>
      <c r="K86" s="58"/>
      <c r="L86" s="40"/>
      <c r="M86" s="3"/>
    </row>
    <row r="87" spans="1:17" ht="14.1" customHeight="1" thickBot="1" x14ac:dyDescent="0.25">
      <c r="A87" s="59" t="s">
        <v>170</v>
      </c>
      <c r="B87" s="127">
        <f>547.16*102/100</f>
        <v>558.10320000000002</v>
      </c>
      <c r="C87" s="60">
        <f>$B$87*12</f>
        <v>6697.2384000000002</v>
      </c>
      <c r="D87" s="61"/>
      <c r="E87" s="62" t="s">
        <v>171</v>
      </c>
      <c r="F87" s="63" t="s">
        <v>172</v>
      </c>
      <c r="G87" s="63"/>
      <c r="H87" s="63"/>
      <c r="I87" s="63"/>
      <c r="J87" s="64"/>
      <c r="K87" s="65"/>
      <c r="L87" s="40"/>
      <c r="M87" s="3"/>
    </row>
    <row r="88" spans="1:17" ht="14.1" customHeight="1" thickBot="1" x14ac:dyDescent="0.25">
      <c r="A88" s="66" t="s">
        <v>173</v>
      </c>
      <c r="B88" s="127">
        <f>262.18*102/100</f>
        <v>267.42360000000002</v>
      </c>
      <c r="C88" s="60">
        <f>B88*12</f>
        <v>3209.0832</v>
      </c>
      <c r="D88" s="61"/>
      <c r="E88" s="41"/>
      <c r="F88" s="17"/>
      <c r="G88" s="49"/>
      <c r="H88" s="40"/>
      <c r="I88" s="40"/>
      <c r="J88" s="45"/>
      <c r="K88" s="17"/>
      <c r="L88" s="40"/>
      <c r="M88" s="3"/>
    </row>
    <row r="89" spans="1:17" ht="14.1" customHeight="1" thickTop="1" x14ac:dyDescent="0.2">
      <c r="A89" s="66" t="s">
        <v>174</v>
      </c>
      <c r="B89" s="127">
        <f>293.23*102/100</f>
        <v>299.09460000000001</v>
      </c>
      <c r="C89" s="60">
        <f>$B$89*12</f>
        <v>3589.1352000000002</v>
      </c>
      <c r="D89" s="61"/>
      <c r="E89" s="41"/>
      <c r="F89" s="17"/>
      <c r="G89" s="67" t="s">
        <v>175</v>
      </c>
      <c r="H89" s="68"/>
      <c r="I89" s="40"/>
      <c r="J89" s="45"/>
      <c r="K89" s="17"/>
      <c r="L89" s="40"/>
      <c r="M89" s="3"/>
      <c r="N89" s="101" t="s">
        <v>225</v>
      </c>
      <c r="O89" s="102" t="s">
        <v>15</v>
      </c>
      <c r="P89" s="101" t="s">
        <v>5</v>
      </c>
      <c r="Q89" s="101" t="s">
        <v>15</v>
      </c>
    </row>
    <row r="90" spans="1:17" ht="14.1" customHeight="1" thickBot="1" x14ac:dyDescent="0.25">
      <c r="A90" s="69" t="s">
        <v>176</v>
      </c>
      <c r="B90" s="128">
        <f>205.18*102/100</f>
        <v>209.28360000000001</v>
      </c>
      <c r="C90" s="70">
        <f>B90*12</f>
        <v>2511.4032000000002</v>
      </c>
      <c r="D90" s="61"/>
      <c r="E90" s="41"/>
      <c r="F90" s="17"/>
      <c r="G90" s="71" t="s">
        <v>60</v>
      </c>
      <c r="H90" s="132">
        <v>1131.8699999999999</v>
      </c>
      <c r="I90" s="40"/>
      <c r="J90" s="45"/>
      <c r="K90" s="17"/>
      <c r="L90" s="40"/>
      <c r="M90" s="3"/>
      <c r="N90" s="104" t="s">
        <v>0</v>
      </c>
      <c r="O90" s="104" t="s">
        <v>16</v>
      </c>
      <c r="P90" s="104" t="s">
        <v>0</v>
      </c>
      <c r="Q90" s="104" t="s">
        <v>16</v>
      </c>
    </row>
    <row r="91" spans="1:17" ht="14.1" customHeight="1" thickBot="1" x14ac:dyDescent="0.25">
      <c r="A91" s="17"/>
      <c r="B91" s="17"/>
      <c r="C91" s="17"/>
      <c r="D91" s="40"/>
      <c r="E91" s="41"/>
      <c r="F91" s="17"/>
      <c r="G91" s="71" t="s">
        <v>266</v>
      </c>
      <c r="H91" s="132">
        <f>$H$90/3</f>
        <v>377.28999999999996</v>
      </c>
      <c r="I91" s="40"/>
      <c r="J91" s="45"/>
      <c r="K91" s="17"/>
      <c r="L91" s="40"/>
      <c r="M91" s="3"/>
      <c r="N91" s="105">
        <v>1</v>
      </c>
      <c r="O91" s="133">
        <v>1054.5984000000001</v>
      </c>
      <c r="P91" s="105">
        <v>1</v>
      </c>
      <c r="Q91" s="133">
        <v>63.821400000000004</v>
      </c>
    </row>
    <row r="92" spans="1:17" ht="14.1" customHeight="1" x14ac:dyDescent="0.2">
      <c r="A92" s="50" t="s">
        <v>177</v>
      </c>
      <c r="B92" s="72"/>
      <c r="C92" s="73" t="s">
        <v>178</v>
      </c>
      <c r="D92" s="72" t="s">
        <v>179</v>
      </c>
      <c r="E92" s="74" t="s">
        <v>180</v>
      </c>
      <c r="F92" s="40"/>
      <c r="G92" s="71" t="s">
        <v>181</v>
      </c>
      <c r="H92" s="132">
        <f t="shared" ref="H92:H93" si="41">$H$90/3</f>
        <v>377.28999999999996</v>
      </c>
      <c r="I92" s="40"/>
      <c r="J92" s="45"/>
      <c r="K92" s="17"/>
      <c r="L92" s="40"/>
      <c r="M92" s="3"/>
      <c r="N92" s="105">
        <v>2</v>
      </c>
      <c r="O92" s="133">
        <v>785.07360000000006</v>
      </c>
      <c r="P92" s="105">
        <v>2</v>
      </c>
      <c r="Q92" s="133">
        <v>48.7254</v>
      </c>
    </row>
    <row r="93" spans="1:17" ht="14.1" customHeight="1" thickBot="1" x14ac:dyDescent="0.25">
      <c r="A93" s="75"/>
      <c r="B93" s="40"/>
      <c r="C93" s="17"/>
      <c r="D93" s="40"/>
      <c r="E93" s="76"/>
      <c r="F93" s="40"/>
      <c r="G93" s="77" t="s">
        <v>182</v>
      </c>
      <c r="H93" s="132">
        <f t="shared" si="41"/>
        <v>377.28999999999996</v>
      </c>
      <c r="I93" s="40"/>
      <c r="J93" s="45"/>
      <c r="K93" s="17"/>
      <c r="L93" s="40"/>
      <c r="M93" s="3"/>
      <c r="N93" s="105">
        <v>3</v>
      </c>
      <c r="O93" s="133">
        <v>640.13160000000005</v>
      </c>
      <c r="P93" s="105">
        <v>3</v>
      </c>
      <c r="Q93" s="133">
        <v>39.086399999999998</v>
      </c>
    </row>
    <row r="94" spans="1:17" ht="14.1" customHeight="1" thickTop="1" thickBot="1" x14ac:dyDescent="0.25">
      <c r="A94" s="59" t="s">
        <v>183</v>
      </c>
      <c r="B94" s="40"/>
      <c r="C94" s="129">
        <f>160.81*102/100</f>
        <v>164.02619999999999</v>
      </c>
      <c r="D94" s="27">
        <v>0</v>
      </c>
      <c r="E94" s="130">
        <f>3.36*102/100</f>
        <v>3.4271999999999996</v>
      </c>
      <c r="F94" s="45"/>
      <c r="G94" s="78"/>
      <c r="H94" s="45"/>
      <c r="I94" s="40"/>
      <c r="J94" s="45"/>
      <c r="K94" s="17"/>
      <c r="L94" s="40"/>
      <c r="M94" s="3"/>
      <c r="N94" s="105">
        <v>4</v>
      </c>
      <c r="O94" s="133">
        <v>422.26980000000003</v>
      </c>
      <c r="P94" s="105">
        <v>4</v>
      </c>
      <c r="Q94" s="133">
        <v>26.315999999999999</v>
      </c>
    </row>
    <row r="95" spans="1:17" ht="14.1" customHeight="1" thickTop="1" x14ac:dyDescent="0.2">
      <c r="A95" s="59" t="s">
        <v>184</v>
      </c>
      <c r="B95" s="40"/>
      <c r="C95" s="40" t="s">
        <v>185</v>
      </c>
      <c r="D95" s="79"/>
      <c r="E95" s="76"/>
      <c r="F95" s="40"/>
      <c r="G95" s="157" t="s">
        <v>186</v>
      </c>
      <c r="H95" s="158"/>
      <c r="I95" s="159"/>
      <c r="J95" s="45"/>
      <c r="K95" s="17"/>
      <c r="L95" s="40"/>
      <c r="M95" s="3"/>
      <c r="N95" s="105">
        <v>5</v>
      </c>
      <c r="O95" s="133">
        <v>374.32980000000003</v>
      </c>
      <c r="P95" s="105">
        <v>5</v>
      </c>
      <c r="Q95" s="133">
        <v>19.604399999999998</v>
      </c>
    </row>
    <row r="96" spans="1:17" ht="14.1" customHeight="1" x14ac:dyDescent="0.2">
      <c r="A96" s="59" t="s">
        <v>187</v>
      </c>
      <c r="B96" s="40"/>
      <c r="C96" s="17"/>
      <c r="D96" s="79"/>
      <c r="E96" s="76"/>
      <c r="F96" s="40"/>
      <c r="G96" s="71" t="s">
        <v>188</v>
      </c>
      <c r="H96" s="40"/>
      <c r="I96" s="132">
        <f>1774.25*102/100</f>
        <v>1809.7349999999999</v>
      </c>
      <c r="J96" s="45"/>
      <c r="K96" s="17"/>
      <c r="L96" s="40"/>
      <c r="M96" s="3"/>
    </row>
    <row r="97" spans="1:18" ht="14.1" customHeight="1" x14ac:dyDescent="0.2">
      <c r="A97" s="80" t="s">
        <v>189</v>
      </c>
      <c r="B97" s="40" t="s">
        <v>190</v>
      </c>
      <c r="C97" s="129">
        <f>38.5*102/100</f>
        <v>39.270000000000003</v>
      </c>
      <c r="D97" s="81">
        <v>0</v>
      </c>
      <c r="E97" s="76"/>
      <c r="F97" s="40"/>
      <c r="G97" s="71" t="s">
        <v>191</v>
      </c>
      <c r="H97" s="40"/>
      <c r="I97" s="132">
        <f>32.94*102/100</f>
        <v>33.598799999999997</v>
      </c>
      <c r="J97" s="45"/>
      <c r="K97" s="17"/>
      <c r="L97" s="40"/>
      <c r="M97" s="3"/>
    </row>
    <row r="98" spans="1:18" ht="14.1" customHeight="1" thickBot="1" x14ac:dyDescent="0.25">
      <c r="A98" s="80" t="s">
        <v>192</v>
      </c>
      <c r="B98" s="40" t="s">
        <v>193</v>
      </c>
      <c r="C98" s="129">
        <f>77*102/100</f>
        <v>78.540000000000006</v>
      </c>
      <c r="D98" s="81">
        <v>0</v>
      </c>
      <c r="E98" s="76"/>
      <c r="F98" s="40"/>
      <c r="G98" s="77" t="s">
        <v>194</v>
      </c>
      <c r="H98" s="82"/>
      <c r="I98" s="134">
        <f>476.1*102/100</f>
        <v>485.62200000000007</v>
      </c>
      <c r="J98" s="45"/>
      <c r="K98" s="17"/>
      <c r="L98" s="40"/>
      <c r="M98" s="3"/>
    </row>
    <row r="99" spans="1:18" ht="14.1" customHeight="1" thickTop="1" x14ac:dyDescent="0.2">
      <c r="A99" s="80" t="s">
        <v>195</v>
      </c>
      <c r="B99" s="40" t="s">
        <v>193</v>
      </c>
      <c r="C99" s="129">
        <f>92.44*102/100</f>
        <v>94.288799999999995</v>
      </c>
      <c r="D99" s="81">
        <v>0</v>
      </c>
      <c r="E99" s="76"/>
      <c r="F99" s="40"/>
      <c r="G99" s="49"/>
      <c r="H99" s="40"/>
      <c r="I99" s="40"/>
      <c r="J99" s="45"/>
      <c r="K99" s="17"/>
      <c r="L99" s="40"/>
      <c r="M99" s="3"/>
    </row>
    <row r="100" spans="1:18" ht="14.1" customHeight="1" x14ac:dyDescent="0.2">
      <c r="A100" s="59" t="s">
        <v>196</v>
      </c>
      <c r="B100" s="40"/>
      <c r="C100" s="17" t="s">
        <v>197</v>
      </c>
      <c r="D100" s="40"/>
      <c r="E100" s="76"/>
      <c r="F100" s="40"/>
      <c r="G100" s="114" t="s">
        <v>256</v>
      </c>
      <c r="H100" s="83"/>
      <c r="I100" s="83"/>
      <c r="J100" s="84"/>
      <c r="K100" s="85"/>
      <c r="L100" s="40"/>
      <c r="M100" s="3"/>
    </row>
    <row r="101" spans="1:18" ht="14.1" customHeight="1" thickBot="1" x14ac:dyDescent="0.25">
      <c r="A101" s="86" t="s">
        <v>198</v>
      </c>
      <c r="B101" s="87"/>
      <c r="C101" s="131">
        <f>222.45*102/100</f>
        <v>226.89899999999997</v>
      </c>
      <c r="D101" s="87"/>
      <c r="E101" s="88"/>
      <c r="F101" s="40"/>
      <c r="G101" s="49"/>
      <c r="H101" s="40"/>
      <c r="I101" s="40"/>
      <c r="J101" s="45"/>
      <c r="K101" s="17"/>
      <c r="L101" s="40"/>
      <c r="M101" s="3"/>
    </row>
    <row r="102" spans="1:18" ht="14.1" customHeight="1" x14ac:dyDescent="0.2">
      <c r="A102" s="49"/>
      <c r="B102" s="40"/>
      <c r="C102" s="40"/>
      <c r="D102" s="40"/>
      <c r="E102" s="41"/>
      <c r="F102" s="40"/>
      <c r="G102" s="49"/>
      <c r="H102" s="40"/>
      <c r="I102" s="40"/>
      <c r="J102" s="45"/>
      <c r="K102" s="17"/>
      <c r="L102" s="40"/>
      <c r="M102" s="3"/>
    </row>
    <row r="103" spans="1:18" ht="14.1" customHeight="1" x14ac:dyDescent="0.2">
      <c r="A103" s="49"/>
      <c r="B103" s="40"/>
      <c r="C103" s="40"/>
      <c r="D103" s="40"/>
      <c r="E103" s="41"/>
      <c r="F103" s="40"/>
      <c r="G103" s="49"/>
      <c r="H103" s="40"/>
      <c r="I103" s="40"/>
      <c r="J103" s="45"/>
      <c r="K103" s="17"/>
      <c r="L103" s="40"/>
      <c r="M103" s="3"/>
    </row>
    <row r="104" spans="1:18" ht="14.1" customHeight="1" x14ac:dyDescent="0.2">
      <c r="A104" s="49"/>
      <c r="B104" s="160" t="s">
        <v>267</v>
      </c>
      <c r="C104" s="160"/>
      <c r="D104" s="160"/>
      <c r="E104" s="160"/>
      <c r="F104" s="160"/>
      <c r="G104" s="160"/>
      <c r="H104" s="160"/>
      <c r="I104" s="40"/>
      <c r="J104" s="45"/>
      <c r="K104" s="17"/>
      <c r="L104" s="40"/>
      <c r="M104" s="3"/>
    </row>
    <row r="105" spans="1:18" ht="14.1" customHeight="1" x14ac:dyDescent="0.2">
      <c r="A105" s="89"/>
      <c r="B105" s="161" t="s">
        <v>61</v>
      </c>
      <c r="C105" s="161"/>
      <c r="D105" s="161"/>
      <c r="E105" s="161"/>
      <c r="F105" s="161"/>
      <c r="G105" s="161"/>
      <c r="H105" s="161"/>
      <c r="I105" s="90"/>
      <c r="J105" s="91"/>
      <c r="K105" s="7"/>
      <c r="L105" s="90"/>
    </row>
    <row r="106" spans="1:18" ht="14.1" customHeight="1" x14ac:dyDescent="0.2">
      <c r="A106" s="93"/>
      <c r="B106" s="97" t="s">
        <v>62</v>
      </c>
      <c r="C106" s="109" t="s">
        <v>268</v>
      </c>
      <c r="D106" s="109" t="s">
        <v>269</v>
      </c>
      <c r="E106" s="109" t="s">
        <v>270</v>
      </c>
      <c r="F106" s="109" t="s">
        <v>271</v>
      </c>
      <c r="G106" s="109" t="s">
        <v>272</v>
      </c>
      <c r="H106" s="97"/>
      <c r="L106" s="95"/>
      <c r="M106" s="95"/>
      <c r="N106" s="95"/>
      <c r="O106" s="11"/>
    </row>
    <row r="107" spans="1:18" ht="23.25" customHeight="1" x14ac:dyDescent="0.2">
      <c r="A107" s="93"/>
      <c r="B107" s="98" t="s">
        <v>63</v>
      </c>
      <c r="C107" s="98" t="s">
        <v>273</v>
      </c>
      <c r="D107" s="98" t="s">
        <v>64</v>
      </c>
      <c r="E107" s="98" t="s">
        <v>65</v>
      </c>
      <c r="F107" s="98" t="s">
        <v>66</v>
      </c>
      <c r="G107" s="98" t="s">
        <v>67</v>
      </c>
      <c r="H107" s="97" t="s">
        <v>68</v>
      </c>
      <c r="J107" s="138" t="s">
        <v>257</v>
      </c>
      <c r="K107" s="138" t="s">
        <v>258</v>
      </c>
      <c r="L107" s="138" t="s">
        <v>259</v>
      </c>
      <c r="M107" s="138" t="s">
        <v>260</v>
      </c>
      <c r="N107" s="138" t="s">
        <v>261</v>
      </c>
      <c r="O107" s="138"/>
    </row>
    <row r="108" spans="1:18" ht="14.1" customHeight="1" x14ac:dyDescent="0.2">
      <c r="A108" s="93"/>
      <c r="B108" s="97" t="s">
        <v>199</v>
      </c>
      <c r="C108" s="97">
        <v>59</v>
      </c>
      <c r="D108" s="97">
        <v>92</v>
      </c>
      <c r="E108" s="97">
        <v>92</v>
      </c>
      <c r="F108" s="97">
        <v>61</v>
      </c>
      <c r="G108" s="97">
        <v>61</v>
      </c>
      <c r="H108" s="97">
        <f>SUM(C108:G108)</f>
        <v>365</v>
      </c>
      <c r="J108" s="139"/>
      <c r="K108" s="139"/>
      <c r="L108" s="139"/>
      <c r="M108" s="139"/>
      <c r="N108" s="139"/>
      <c r="O108" s="139"/>
    </row>
    <row r="109" spans="1:18" ht="14.1" customHeight="1" x14ac:dyDescent="0.2">
      <c r="A109" s="154" t="s">
        <v>200</v>
      </c>
      <c r="B109" s="99" t="s">
        <v>201</v>
      </c>
      <c r="C109" s="135">
        <f>H109*C108/H108</f>
        <v>957.52635616438351</v>
      </c>
      <c r="D109" s="135">
        <f>H109*D108/H108</f>
        <v>1493.0919452054795</v>
      </c>
      <c r="E109" s="135">
        <f>H109*E108/H108</f>
        <v>1493.0919452054795</v>
      </c>
      <c r="F109" s="135">
        <f>H109*F108/H108</f>
        <v>989.98487671232886</v>
      </c>
      <c r="G109" s="135">
        <f>H109*G108/H108</f>
        <v>989.98487671232886</v>
      </c>
      <c r="H109" s="136">
        <v>5923.68</v>
      </c>
      <c r="J109" s="139">
        <v>948.84479999999996</v>
      </c>
      <c r="K109" s="139">
        <v>1312.0450741594077</v>
      </c>
      <c r="L109" s="139">
        <v>1501.6744825120813</v>
      </c>
      <c r="M109" s="139">
        <v>1440.7442481755854</v>
      </c>
      <c r="N109" s="139">
        <v>720.37</v>
      </c>
      <c r="O109" s="139">
        <v>5923.6805999999997</v>
      </c>
      <c r="P109" s="120"/>
      <c r="Q109" s="120"/>
      <c r="R109" s="120"/>
    </row>
    <row r="110" spans="1:18" ht="14.1" customHeight="1" x14ac:dyDescent="0.2">
      <c r="A110" s="155"/>
      <c r="B110" s="99" t="s">
        <v>202</v>
      </c>
      <c r="C110" s="135">
        <f>H110*C109/H109</f>
        <v>957.52635616438351</v>
      </c>
      <c r="D110" s="135">
        <f>H110*D109/H109</f>
        <v>1493.0919452054795</v>
      </c>
      <c r="E110" s="135">
        <f>H110*E109/H109</f>
        <v>1493.0919452054795</v>
      </c>
      <c r="F110" s="135">
        <f>H110*F109/H109</f>
        <v>989.98487671232886</v>
      </c>
      <c r="G110" s="135">
        <f>H110*G109/H109</f>
        <v>989.98487671232886</v>
      </c>
      <c r="H110" s="136">
        <v>5923.68</v>
      </c>
      <c r="J110" s="139">
        <v>948.84479999999996</v>
      </c>
      <c r="K110" s="139">
        <v>1312.0450741594077</v>
      </c>
      <c r="L110" s="139">
        <v>1501.6744825120813</v>
      </c>
      <c r="M110" s="139">
        <v>1440.7442481755854</v>
      </c>
      <c r="N110" s="139">
        <v>720.37</v>
      </c>
      <c r="O110" s="139">
        <v>5923.6805999999997</v>
      </c>
      <c r="P110" s="120"/>
      <c r="Q110" s="120"/>
      <c r="R110" s="120"/>
    </row>
    <row r="111" spans="1:18" ht="14.1" customHeight="1" x14ac:dyDescent="0.2">
      <c r="A111" s="155"/>
      <c r="B111" s="99" t="s">
        <v>249</v>
      </c>
      <c r="C111" s="135">
        <f>H111*C110/H110</f>
        <v>957.52635616438351</v>
      </c>
      <c r="D111" s="135">
        <f>H111*D110/H110</f>
        <v>1493.0919452054795</v>
      </c>
      <c r="E111" s="135">
        <f>H111*E110/H110</f>
        <v>1493.0919452054795</v>
      </c>
      <c r="F111" s="135">
        <f>H111*F110/H110</f>
        <v>989.98487671232886</v>
      </c>
      <c r="G111" s="135">
        <f>H111*G110/H110</f>
        <v>989.98487671232886</v>
      </c>
      <c r="H111" s="136">
        <v>5923.68</v>
      </c>
      <c r="J111" s="139">
        <v>948.84479999999996</v>
      </c>
      <c r="K111" s="139">
        <v>1165.8804</v>
      </c>
      <c r="L111" s="139">
        <v>1905.0845999999999</v>
      </c>
      <c r="M111" s="139">
        <v>1257.0071999999998</v>
      </c>
      <c r="N111" s="139">
        <v>628.50359999999989</v>
      </c>
      <c r="O111" s="139">
        <v>5923.6805999999997</v>
      </c>
      <c r="P111" s="120"/>
      <c r="Q111" s="120"/>
      <c r="R111" s="120"/>
    </row>
    <row r="112" spans="1:18" ht="14.1" customHeight="1" x14ac:dyDescent="0.2">
      <c r="A112" s="155"/>
      <c r="B112" s="99" t="s">
        <v>203</v>
      </c>
      <c r="C112" s="135">
        <f t="shared" ref="C112:C150" si="42">H112*C111/H111</f>
        <v>777.06232876712318</v>
      </c>
      <c r="D112" s="135">
        <f t="shared" ref="D112:D150" si="43">H112*D111/H111</f>
        <v>1211.6904109589041</v>
      </c>
      <c r="E112" s="135">
        <f t="shared" ref="E112:E150" si="44">H112*E111/H111</f>
        <v>1211.6904109589041</v>
      </c>
      <c r="F112" s="135">
        <f t="shared" ref="F112:F150" si="45">H112*F111/H111</f>
        <v>803.40342465753429</v>
      </c>
      <c r="G112" s="135">
        <f t="shared" ref="G112:G150" si="46">H112*G111/H111</f>
        <v>803.40342465753429</v>
      </c>
      <c r="H112" s="137">
        <v>4807.25</v>
      </c>
      <c r="J112" s="139">
        <v>948.84479999999996</v>
      </c>
      <c r="K112" s="139">
        <v>1017.6030000000001</v>
      </c>
      <c r="L112" s="139">
        <v>1164.6768</v>
      </c>
      <c r="M112" s="139">
        <v>1117.4202</v>
      </c>
      <c r="N112" s="139">
        <v>558.70500000000004</v>
      </c>
      <c r="O112" s="139">
        <v>4807.2497999999996</v>
      </c>
      <c r="P112" s="120"/>
      <c r="Q112" s="120"/>
      <c r="R112" s="120"/>
    </row>
    <row r="113" spans="1:18" ht="14.1" customHeight="1" x14ac:dyDescent="0.2">
      <c r="A113" s="155"/>
      <c r="B113" s="99" t="s">
        <v>246</v>
      </c>
      <c r="C113" s="135">
        <f t="shared" si="42"/>
        <v>777.06232876712318</v>
      </c>
      <c r="D113" s="135">
        <f t="shared" si="43"/>
        <v>1211.6904109589041</v>
      </c>
      <c r="E113" s="135">
        <f t="shared" si="44"/>
        <v>1211.6904109589041</v>
      </c>
      <c r="F113" s="135">
        <f t="shared" si="45"/>
        <v>803.40342465753429</v>
      </c>
      <c r="G113" s="135">
        <f t="shared" si="46"/>
        <v>803.40342465753429</v>
      </c>
      <c r="H113" s="137">
        <v>4807.25</v>
      </c>
      <c r="J113" s="139">
        <v>948.84479999999996</v>
      </c>
      <c r="K113" s="139">
        <v>1017.6030000000001</v>
      </c>
      <c r="L113" s="139">
        <v>1164.6768</v>
      </c>
      <c r="M113" s="139">
        <v>1117.4202</v>
      </c>
      <c r="N113" s="139">
        <v>558.70500000000004</v>
      </c>
      <c r="O113" s="139">
        <v>4807.2497999999996</v>
      </c>
      <c r="P113" s="120"/>
      <c r="Q113" s="120"/>
      <c r="R113" s="120"/>
    </row>
    <row r="114" spans="1:18" ht="14.1" customHeight="1" x14ac:dyDescent="0.2">
      <c r="A114" s="155"/>
      <c r="B114" s="99" t="s">
        <v>247</v>
      </c>
      <c r="C114" s="135">
        <f t="shared" si="42"/>
        <v>777.06232876712318</v>
      </c>
      <c r="D114" s="135">
        <f t="shared" si="43"/>
        <v>1211.6904109589041</v>
      </c>
      <c r="E114" s="135">
        <f t="shared" si="44"/>
        <v>1211.6904109589041</v>
      </c>
      <c r="F114" s="135">
        <f t="shared" si="45"/>
        <v>803.40342465753429</v>
      </c>
      <c r="G114" s="135">
        <f t="shared" si="46"/>
        <v>803.40342465753429</v>
      </c>
      <c r="H114" s="137">
        <v>4807.25</v>
      </c>
      <c r="J114" s="139">
        <v>948.84479999999996</v>
      </c>
      <c r="K114" s="139">
        <v>1017.6030000000001</v>
      </c>
      <c r="L114" s="139">
        <v>1164.6768</v>
      </c>
      <c r="M114" s="139">
        <v>1117.4202</v>
      </c>
      <c r="N114" s="139">
        <v>558.70500000000004</v>
      </c>
      <c r="O114" s="139">
        <v>4807.2497999999996</v>
      </c>
      <c r="P114" s="120"/>
      <c r="Q114" s="120"/>
      <c r="R114" s="120"/>
    </row>
    <row r="115" spans="1:18" ht="14.1" customHeight="1" x14ac:dyDescent="0.2">
      <c r="A115" s="156"/>
      <c r="B115" s="99" t="s">
        <v>248</v>
      </c>
      <c r="C115" s="135">
        <f t="shared" si="42"/>
        <v>777.06232876712318</v>
      </c>
      <c r="D115" s="135">
        <f t="shared" si="43"/>
        <v>1211.6904109589041</v>
      </c>
      <c r="E115" s="135">
        <f t="shared" si="44"/>
        <v>1211.6904109589041</v>
      </c>
      <c r="F115" s="135">
        <f t="shared" si="45"/>
        <v>803.40342465753429</v>
      </c>
      <c r="G115" s="135">
        <f t="shared" si="46"/>
        <v>803.40342465753429</v>
      </c>
      <c r="H115" s="137">
        <v>4807.25</v>
      </c>
      <c r="J115" s="139">
        <v>948.84479999999996</v>
      </c>
      <c r="K115" s="139">
        <v>1017.6030000000001</v>
      </c>
      <c r="L115" s="139">
        <v>1164.6768</v>
      </c>
      <c r="M115" s="139">
        <v>1117.4202</v>
      </c>
      <c r="N115" s="139">
        <v>558.70500000000004</v>
      </c>
      <c r="O115" s="139">
        <v>4807.2497999999996</v>
      </c>
      <c r="P115" s="120"/>
      <c r="Q115" s="120"/>
      <c r="R115" s="120"/>
    </row>
    <row r="116" spans="1:18" ht="14.1" customHeight="1" x14ac:dyDescent="0.2">
      <c r="A116" s="154" t="s">
        <v>204</v>
      </c>
      <c r="B116" s="99" t="s">
        <v>205</v>
      </c>
      <c r="C116" s="135">
        <f t="shared" si="42"/>
        <v>698.32561643835595</v>
      </c>
      <c r="D116" s="135">
        <f t="shared" si="43"/>
        <v>1088.9145205479451</v>
      </c>
      <c r="E116" s="135">
        <f t="shared" si="44"/>
        <v>1088.9145205479451</v>
      </c>
      <c r="F116" s="135">
        <f t="shared" si="45"/>
        <v>721.99767123287666</v>
      </c>
      <c r="G116" s="135">
        <f t="shared" si="46"/>
        <v>721.99767123287666</v>
      </c>
      <c r="H116" s="137">
        <v>4320.1499999999996</v>
      </c>
      <c r="J116" s="139">
        <v>948.84479999999996</v>
      </c>
      <c r="K116" s="139">
        <v>987.97199999999998</v>
      </c>
      <c r="L116" s="139">
        <v>1022.3358000000001</v>
      </c>
      <c r="M116" s="139">
        <v>907.33080000000007</v>
      </c>
      <c r="N116" s="139">
        <v>453.66540000000003</v>
      </c>
      <c r="O116" s="139">
        <v>4320.148799999999</v>
      </c>
      <c r="P116" s="120"/>
      <c r="Q116" s="120"/>
      <c r="R116" s="120"/>
    </row>
    <row r="117" spans="1:18" ht="14.1" customHeight="1" x14ac:dyDescent="0.2">
      <c r="A117" s="155"/>
      <c r="B117" s="99" t="s">
        <v>206</v>
      </c>
      <c r="C117" s="135">
        <f t="shared" si="42"/>
        <v>698.32561643835595</v>
      </c>
      <c r="D117" s="135">
        <f t="shared" si="43"/>
        <v>1088.9145205479451</v>
      </c>
      <c r="E117" s="135">
        <f t="shared" si="44"/>
        <v>1088.9145205479451</v>
      </c>
      <c r="F117" s="135">
        <f t="shared" si="45"/>
        <v>721.99767123287666</v>
      </c>
      <c r="G117" s="135">
        <f t="shared" si="46"/>
        <v>721.99767123287666</v>
      </c>
      <c r="H117" s="137">
        <v>4320.1499999999996</v>
      </c>
      <c r="J117" s="139">
        <v>948.84479999999996</v>
      </c>
      <c r="K117" s="139">
        <v>987.97199999999998</v>
      </c>
      <c r="L117" s="139">
        <v>1022.3358000000001</v>
      </c>
      <c r="M117" s="139">
        <v>907.33080000000007</v>
      </c>
      <c r="N117" s="139">
        <v>453.66540000000003</v>
      </c>
      <c r="O117" s="139">
        <v>4320.148799999999</v>
      </c>
      <c r="P117" s="120"/>
      <c r="Q117" s="120"/>
      <c r="R117" s="120"/>
    </row>
    <row r="118" spans="1:18" ht="14.1" customHeight="1" x14ac:dyDescent="0.2">
      <c r="A118" s="155"/>
      <c r="B118" s="99" t="s">
        <v>207</v>
      </c>
      <c r="C118" s="135">
        <f t="shared" si="42"/>
        <v>698.32561643835595</v>
      </c>
      <c r="D118" s="135">
        <f t="shared" si="43"/>
        <v>1088.9145205479451</v>
      </c>
      <c r="E118" s="135">
        <f t="shared" si="44"/>
        <v>1088.9145205479451</v>
      </c>
      <c r="F118" s="135">
        <f t="shared" si="45"/>
        <v>721.99767123287666</v>
      </c>
      <c r="G118" s="135">
        <f t="shared" si="46"/>
        <v>721.99767123287666</v>
      </c>
      <c r="H118" s="137">
        <v>4320.1499999999996</v>
      </c>
      <c r="J118" s="139">
        <v>948.84479999999996</v>
      </c>
      <c r="K118" s="139">
        <v>987.97199999999998</v>
      </c>
      <c r="L118" s="139">
        <v>1022.3358000000001</v>
      </c>
      <c r="M118" s="139">
        <v>907.33080000000007</v>
      </c>
      <c r="N118" s="139">
        <v>453.66540000000003</v>
      </c>
      <c r="O118" s="139">
        <v>4320.148799999999</v>
      </c>
      <c r="P118" s="120"/>
      <c r="Q118" s="120"/>
      <c r="R118" s="120"/>
    </row>
    <row r="119" spans="1:18" ht="14.1" customHeight="1" x14ac:dyDescent="0.2">
      <c r="A119" s="155"/>
      <c r="B119" s="99" t="s">
        <v>243</v>
      </c>
      <c r="C119" s="135">
        <f t="shared" si="42"/>
        <v>698.32561643835595</v>
      </c>
      <c r="D119" s="135">
        <f t="shared" si="43"/>
        <v>1088.9145205479451</v>
      </c>
      <c r="E119" s="135">
        <f t="shared" si="44"/>
        <v>1088.9145205479451</v>
      </c>
      <c r="F119" s="135">
        <f t="shared" si="45"/>
        <v>721.99767123287666</v>
      </c>
      <c r="G119" s="135">
        <f t="shared" si="46"/>
        <v>721.99767123287666</v>
      </c>
      <c r="H119" s="137">
        <v>4320.1499999999996</v>
      </c>
      <c r="J119" s="139">
        <v>948.84479999999996</v>
      </c>
      <c r="K119" s="139">
        <v>987.97199999999998</v>
      </c>
      <c r="L119" s="139">
        <v>1022.3358000000001</v>
      </c>
      <c r="M119" s="139">
        <v>907.33080000000007</v>
      </c>
      <c r="N119" s="139">
        <v>453.66540000000003</v>
      </c>
      <c r="O119" s="139">
        <v>4320.148799999999</v>
      </c>
      <c r="P119" s="120"/>
      <c r="Q119" s="120"/>
      <c r="R119" s="120"/>
    </row>
    <row r="120" spans="1:18" ht="14.1" customHeight="1" x14ac:dyDescent="0.2">
      <c r="A120" s="155"/>
      <c r="B120" s="99" t="s">
        <v>244</v>
      </c>
      <c r="C120" s="135">
        <f t="shared" si="42"/>
        <v>698.32561643835595</v>
      </c>
      <c r="D120" s="135">
        <f t="shared" si="43"/>
        <v>1088.9145205479451</v>
      </c>
      <c r="E120" s="135">
        <f t="shared" si="44"/>
        <v>1088.9145205479451</v>
      </c>
      <c r="F120" s="135">
        <f t="shared" si="45"/>
        <v>721.99767123287666</v>
      </c>
      <c r="G120" s="135">
        <f t="shared" si="46"/>
        <v>721.99767123287666</v>
      </c>
      <c r="H120" s="137">
        <v>4320.1499999999996</v>
      </c>
      <c r="J120" s="139">
        <v>948.84479999999996</v>
      </c>
      <c r="K120" s="139">
        <v>987.97199999999998</v>
      </c>
      <c r="L120" s="139">
        <v>1022.3358000000001</v>
      </c>
      <c r="M120" s="139">
        <v>907.33080000000007</v>
      </c>
      <c r="N120" s="139">
        <v>453.66540000000003</v>
      </c>
      <c r="O120" s="139">
        <v>4320.148799999999</v>
      </c>
      <c r="P120" s="120"/>
      <c r="Q120" s="120"/>
      <c r="R120" s="120"/>
    </row>
    <row r="121" spans="1:18" ht="14.1" customHeight="1" x14ac:dyDescent="0.2">
      <c r="A121" s="155"/>
      <c r="B121" s="99" t="s">
        <v>245</v>
      </c>
      <c r="C121" s="135">
        <f t="shared" si="42"/>
        <v>698.32561643835595</v>
      </c>
      <c r="D121" s="135">
        <f t="shared" si="43"/>
        <v>1088.9145205479451</v>
      </c>
      <c r="E121" s="135">
        <f t="shared" si="44"/>
        <v>1088.9145205479451</v>
      </c>
      <c r="F121" s="135">
        <f t="shared" si="45"/>
        <v>721.99767123287666</v>
      </c>
      <c r="G121" s="135">
        <f t="shared" si="46"/>
        <v>721.99767123287666</v>
      </c>
      <c r="H121" s="137">
        <v>4320.1499999999996</v>
      </c>
      <c r="J121" s="139">
        <v>948.84479999999996</v>
      </c>
      <c r="K121" s="139">
        <v>987.97199999999998</v>
      </c>
      <c r="L121" s="139">
        <v>1022.3358000000001</v>
      </c>
      <c r="M121" s="139">
        <v>907.33080000000007</v>
      </c>
      <c r="N121" s="139">
        <v>453.66540000000003</v>
      </c>
      <c r="O121" s="139">
        <v>4320.148799999999</v>
      </c>
      <c r="P121" s="120"/>
      <c r="Q121" s="120"/>
      <c r="R121" s="120"/>
    </row>
    <row r="122" spans="1:18" ht="14.1" customHeight="1" x14ac:dyDescent="0.2">
      <c r="A122" s="155"/>
      <c r="B122" s="99" t="s">
        <v>208</v>
      </c>
      <c r="C122" s="135">
        <f t="shared" si="42"/>
        <v>698.32561643835595</v>
      </c>
      <c r="D122" s="135">
        <f t="shared" si="43"/>
        <v>1088.9145205479451</v>
      </c>
      <c r="E122" s="135">
        <f t="shared" si="44"/>
        <v>1088.9145205479451</v>
      </c>
      <c r="F122" s="135">
        <f t="shared" si="45"/>
        <v>721.99767123287666</v>
      </c>
      <c r="G122" s="135">
        <f t="shared" si="46"/>
        <v>721.99767123287666</v>
      </c>
      <c r="H122" s="137">
        <v>4320.1499999999996</v>
      </c>
      <c r="J122" s="139">
        <v>948.84479999999996</v>
      </c>
      <c r="K122" s="139">
        <v>987.97199999999998</v>
      </c>
      <c r="L122" s="139">
        <v>1022.3358000000001</v>
      </c>
      <c r="M122" s="139">
        <v>907.33080000000007</v>
      </c>
      <c r="N122" s="139">
        <v>453.66540000000003</v>
      </c>
      <c r="O122" s="139">
        <v>4320.148799999999</v>
      </c>
      <c r="P122" s="120"/>
      <c r="Q122" s="120"/>
      <c r="R122" s="120"/>
    </row>
    <row r="123" spans="1:18" ht="14.1" customHeight="1" x14ac:dyDescent="0.2">
      <c r="A123" s="156"/>
      <c r="B123" s="99" t="s">
        <v>209</v>
      </c>
      <c r="C123" s="135">
        <f t="shared" si="42"/>
        <v>698.32561643835595</v>
      </c>
      <c r="D123" s="135">
        <f t="shared" si="43"/>
        <v>1088.9145205479451</v>
      </c>
      <c r="E123" s="135">
        <f t="shared" si="44"/>
        <v>1088.9145205479451</v>
      </c>
      <c r="F123" s="135">
        <f t="shared" si="45"/>
        <v>721.99767123287666</v>
      </c>
      <c r="G123" s="135">
        <f t="shared" si="46"/>
        <v>721.99767123287666</v>
      </c>
      <c r="H123" s="137">
        <v>4320.1499999999996</v>
      </c>
      <c r="J123" s="139">
        <v>948.84479999999996</v>
      </c>
      <c r="K123" s="139">
        <v>987.97199999999998</v>
      </c>
      <c r="L123" s="139">
        <v>1022.3358000000001</v>
      </c>
      <c r="M123" s="139">
        <v>907.33080000000007</v>
      </c>
      <c r="N123" s="139">
        <v>453.66540000000003</v>
      </c>
      <c r="O123" s="139">
        <v>4320.148799999999</v>
      </c>
      <c r="P123" s="120"/>
      <c r="Q123" s="120"/>
      <c r="R123" s="120"/>
    </row>
    <row r="124" spans="1:18" ht="14.1" customHeight="1" x14ac:dyDescent="0.2">
      <c r="A124" s="155" t="s">
        <v>212</v>
      </c>
      <c r="B124" s="99" t="s">
        <v>210</v>
      </c>
      <c r="C124" s="135">
        <f t="shared" si="42"/>
        <v>698.32561643835595</v>
      </c>
      <c r="D124" s="135">
        <f t="shared" si="43"/>
        <v>1088.9145205479451</v>
      </c>
      <c r="E124" s="135">
        <f t="shared" si="44"/>
        <v>1088.9145205479451</v>
      </c>
      <c r="F124" s="135">
        <f t="shared" si="45"/>
        <v>721.99767123287666</v>
      </c>
      <c r="G124" s="135">
        <f t="shared" si="46"/>
        <v>721.99767123287666</v>
      </c>
      <c r="H124" s="137">
        <v>4320.1499999999996</v>
      </c>
      <c r="J124" s="139">
        <v>948.84479999999996</v>
      </c>
      <c r="K124" s="139">
        <v>987.97199999999998</v>
      </c>
      <c r="L124" s="139">
        <v>1022.3358000000001</v>
      </c>
      <c r="M124" s="139">
        <v>907.33080000000007</v>
      </c>
      <c r="N124" s="139">
        <v>453.66540000000003</v>
      </c>
      <c r="O124" s="139">
        <v>4320.148799999999</v>
      </c>
      <c r="P124" s="120"/>
      <c r="Q124" s="120"/>
      <c r="R124" s="120"/>
    </row>
    <row r="125" spans="1:18" ht="14.1" customHeight="1" x14ac:dyDescent="0.2">
      <c r="A125" s="155"/>
      <c r="B125" s="99" t="s">
        <v>211</v>
      </c>
      <c r="C125" s="135">
        <f t="shared" si="42"/>
        <v>698.32561643835595</v>
      </c>
      <c r="D125" s="135">
        <f t="shared" si="43"/>
        <v>1088.9145205479451</v>
      </c>
      <c r="E125" s="135">
        <f t="shared" si="44"/>
        <v>1088.9145205479451</v>
      </c>
      <c r="F125" s="135">
        <f t="shared" si="45"/>
        <v>721.99767123287666</v>
      </c>
      <c r="G125" s="135">
        <f t="shared" si="46"/>
        <v>721.99767123287666</v>
      </c>
      <c r="H125" s="137">
        <v>4320.1499999999996</v>
      </c>
      <c r="J125" s="139">
        <v>948.84479999999996</v>
      </c>
      <c r="K125" s="139">
        <v>987.97199999999998</v>
      </c>
      <c r="L125" s="139">
        <v>1022.3358000000001</v>
      </c>
      <c r="M125" s="139">
        <v>907.33080000000007</v>
      </c>
      <c r="N125" s="139">
        <v>453.66540000000003</v>
      </c>
      <c r="O125" s="139">
        <v>4320.148799999999</v>
      </c>
      <c r="P125" s="120"/>
      <c r="Q125" s="120"/>
      <c r="R125" s="120"/>
    </row>
    <row r="126" spans="1:18" ht="14.1" customHeight="1" x14ac:dyDescent="0.2">
      <c r="A126" s="155"/>
      <c r="B126" s="99" t="s">
        <v>213</v>
      </c>
      <c r="C126" s="135">
        <f t="shared" si="42"/>
        <v>608.69895890410942</v>
      </c>
      <c r="D126" s="135">
        <f t="shared" si="43"/>
        <v>949.15769863013702</v>
      </c>
      <c r="E126" s="135">
        <f t="shared" si="44"/>
        <v>949.15769863013702</v>
      </c>
      <c r="F126" s="135">
        <f t="shared" si="45"/>
        <v>629.33282191780813</v>
      </c>
      <c r="G126" s="135">
        <f t="shared" si="46"/>
        <v>629.33282191780813</v>
      </c>
      <c r="H126" s="136">
        <v>3765.68</v>
      </c>
      <c r="J126" s="139">
        <v>948.84479999999996</v>
      </c>
      <c r="K126" s="139">
        <v>886.41223200000013</v>
      </c>
      <c r="L126" s="139">
        <v>588.98737199999994</v>
      </c>
      <c r="M126" s="139">
        <v>885.21454800000004</v>
      </c>
      <c r="N126" s="139">
        <v>442.60727400000002</v>
      </c>
      <c r="O126" s="139">
        <v>3765.6767999999997</v>
      </c>
      <c r="P126" s="120"/>
      <c r="Q126" s="120"/>
      <c r="R126" s="120"/>
    </row>
    <row r="127" spans="1:18" ht="14.1" customHeight="1" x14ac:dyDescent="0.2">
      <c r="A127" s="155"/>
      <c r="B127" s="99" t="s">
        <v>214</v>
      </c>
      <c r="C127" s="135">
        <f t="shared" si="42"/>
        <v>608.69895890410942</v>
      </c>
      <c r="D127" s="135">
        <f t="shared" si="43"/>
        <v>949.15769863013702</v>
      </c>
      <c r="E127" s="135">
        <f t="shared" si="44"/>
        <v>949.15769863013702</v>
      </c>
      <c r="F127" s="135">
        <f t="shared" si="45"/>
        <v>629.33282191780813</v>
      </c>
      <c r="G127" s="135">
        <f t="shared" si="46"/>
        <v>629.33282191780813</v>
      </c>
      <c r="H127" s="136">
        <v>3765.68</v>
      </c>
      <c r="J127" s="139">
        <v>948.84479999999996</v>
      </c>
      <c r="K127" s="139">
        <v>886.41223200000013</v>
      </c>
      <c r="L127" s="139">
        <v>588.98737199999994</v>
      </c>
      <c r="M127" s="139">
        <v>885.21454800000004</v>
      </c>
      <c r="N127" s="139">
        <v>442.60727400000002</v>
      </c>
      <c r="O127" s="139">
        <v>3765.6767999999997</v>
      </c>
      <c r="P127" s="120"/>
      <c r="Q127" s="120"/>
      <c r="R127" s="120"/>
    </row>
    <row r="128" spans="1:18" ht="14.1" customHeight="1" x14ac:dyDescent="0.2">
      <c r="A128" s="155"/>
      <c r="B128" s="99" t="s">
        <v>215</v>
      </c>
      <c r="C128" s="135">
        <f t="shared" si="42"/>
        <v>608.69895890410942</v>
      </c>
      <c r="D128" s="135">
        <f t="shared" si="43"/>
        <v>949.15769863013702</v>
      </c>
      <c r="E128" s="135">
        <f t="shared" si="44"/>
        <v>949.15769863013702</v>
      </c>
      <c r="F128" s="135">
        <f t="shared" si="45"/>
        <v>629.33282191780813</v>
      </c>
      <c r="G128" s="135">
        <f t="shared" si="46"/>
        <v>629.33282191780813</v>
      </c>
      <c r="H128" s="136">
        <v>3765.68</v>
      </c>
      <c r="J128" s="139">
        <v>948.84479999999996</v>
      </c>
      <c r="K128" s="139">
        <v>886.41223200000013</v>
      </c>
      <c r="L128" s="139">
        <v>588.98737199999994</v>
      </c>
      <c r="M128" s="139">
        <v>885.21454800000004</v>
      </c>
      <c r="N128" s="139">
        <v>442.60727400000002</v>
      </c>
      <c r="O128" s="139">
        <v>3765.6767999999997</v>
      </c>
      <c r="P128" s="120"/>
      <c r="Q128" s="120"/>
      <c r="R128" s="120"/>
    </row>
    <row r="129" spans="1:18" ht="14.1" customHeight="1" x14ac:dyDescent="0.2">
      <c r="A129" s="155"/>
      <c r="B129" s="99" t="s">
        <v>235</v>
      </c>
      <c r="C129" s="135">
        <f t="shared" si="42"/>
        <v>608.69895890410942</v>
      </c>
      <c r="D129" s="135">
        <f t="shared" si="43"/>
        <v>949.15769863013702</v>
      </c>
      <c r="E129" s="135">
        <f t="shared" si="44"/>
        <v>949.15769863013702</v>
      </c>
      <c r="F129" s="135">
        <f t="shared" si="45"/>
        <v>629.33282191780813</v>
      </c>
      <c r="G129" s="135">
        <f t="shared" si="46"/>
        <v>629.33282191780813</v>
      </c>
      <c r="H129" s="136">
        <v>3765.68</v>
      </c>
      <c r="J129" s="139">
        <v>948.84479999999996</v>
      </c>
      <c r="K129" s="139">
        <v>886.41223200000013</v>
      </c>
      <c r="L129" s="139">
        <v>588.98737199999994</v>
      </c>
      <c r="M129" s="139">
        <v>885.21454800000004</v>
      </c>
      <c r="N129" s="139">
        <v>442.60727400000002</v>
      </c>
      <c r="O129" s="139">
        <v>3765.6767999999997</v>
      </c>
      <c r="P129" s="120"/>
      <c r="Q129" s="120"/>
      <c r="R129" s="120"/>
    </row>
    <row r="130" spans="1:18" ht="14.1" customHeight="1" x14ac:dyDescent="0.2">
      <c r="A130" s="155"/>
      <c r="B130" s="99" t="s">
        <v>236</v>
      </c>
      <c r="C130" s="135">
        <f t="shared" si="42"/>
        <v>608.69895890410942</v>
      </c>
      <c r="D130" s="135">
        <f t="shared" si="43"/>
        <v>949.15769863013702</v>
      </c>
      <c r="E130" s="135">
        <f t="shared" si="44"/>
        <v>949.15769863013702</v>
      </c>
      <c r="F130" s="135">
        <f t="shared" si="45"/>
        <v>629.33282191780813</v>
      </c>
      <c r="G130" s="135">
        <f t="shared" si="46"/>
        <v>629.33282191780813</v>
      </c>
      <c r="H130" s="136">
        <v>3765.68</v>
      </c>
      <c r="J130" s="139">
        <v>948.84479999999996</v>
      </c>
      <c r="K130" s="139">
        <v>886.41223200000013</v>
      </c>
      <c r="L130" s="139">
        <v>588.98737199999994</v>
      </c>
      <c r="M130" s="139">
        <v>885.21454800000004</v>
      </c>
      <c r="N130" s="139">
        <v>442.60727400000002</v>
      </c>
      <c r="O130" s="139">
        <v>3765.6767999999997</v>
      </c>
      <c r="P130" s="120"/>
      <c r="Q130" s="120"/>
      <c r="R130" s="120"/>
    </row>
    <row r="131" spans="1:18" ht="14.1" customHeight="1" x14ac:dyDescent="0.2">
      <c r="A131" s="155"/>
      <c r="B131" s="99" t="s">
        <v>237</v>
      </c>
      <c r="C131" s="135">
        <f t="shared" si="42"/>
        <v>608.69895890410942</v>
      </c>
      <c r="D131" s="135">
        <f t="shared" si="43"/>
        <v>949.15769863013702</v>
      </c>
      <c r="E131" s="135">
        <f t="shared" si="44"/>
        <v>949.15769863013702</v>
      </c>
      <c r="F131" s="135">
        <f t="shared" si="45"/>
        <v>629.33282191780813</v>
      </c>
      <c r="G131" s="135">
        <f t="shared" si="46"/>
        <v>629.33282191780813</v>
      </c>
      <c r="H131" s="136">
        <v>3765.68</v>
      </c>
      <c r="J131" s="139">
        <v>948.84479999999996</v>
      </c>
      <c r="K131" s="139">
        <v>886.41223200000013</v>
      </c>
      <c r="L131" s="139">
        <v>588.98737199999994</v>
      </c>
      <c r="M131" s="139">
        <v>885.21454800000004</v>
      </c>
      <c r="N131" s="139">
        <v>442.60727400000002</v>
      </c>
      <c r="O131" s="139">
        <v>3765.6767999999997</v>
      </c>
      <c r="P131" s="120"/>
      <c r="Q131" s="120"/>
      <c r="R131" s="120"/>
    </row>
    <row r="132" spans="1:18" ht="14.1" customHeight="1" x14ac:dyDescent="0.2">
      <c r="A132" s="155"/>
      <c r="B132" s="99" t="s">
        <v>238</v>
      </c>
      <c r="C132" s="135">
        <f t="shared" si="42"/>
        <v>608.69895890410942</v>
      </c>
      <c r="D132" s="135">
        <f t="shared" si="43"/>
        <v>949.15769863013702</v>
      </c>
      <c r="E132" s="135">
        <f t="shared" si="44"/>
        <v>949.15769863013702</v>
      </c>
      <c r="F132" s="135">
        <f t="shared" si="45"/>
        <v>629.33282191780813</v>
      </c>
      <c r="G132" s="135">
        <f t="shared" si="46"/>
        <v>629.33282191780813</v>
      </c>
      <c r="H132" s="136">
        <v>3765.68</v>
      </c>
      <c r="J132" s="139">
        <v>948.84479999999996</v>
      </c>
      <c r="K132" s="139">
        <v>886.41223200000013</v>
      </c>
      <c r="L132" s="139">
        <v>588.98737199999994</v>
      </c>
      <c r="M132" s="139">
        <v>885.21454800000004</v>
      </c>
      <c r="N132" s="139">
        <v>442.60727400000002</v>
      </c>
      <c r="O132" s="139">
        <v>3765.6767999999997</v>
      </c>
      <c r="P132" s="120"/>
      <c r="Q132" s="120"/>
      <c r="R132" s="120"/>
    </row>
    <row r="133" spans="1:18" ht="14.1" customHeight="1" x14ac:dyDescent="0.2">
      <c r="A133" s="155"/>
      <c r="B133" s="99" t="s">
        <v>239</v>
      </c>
      <c r="C133" s="135">
        <f t="shared" si="42"/>
        <v>608.69895890410942</v>
      </c>
      <c r="D133" s="135">
        <f t="shared" si="43"/>
        <v>949.15769863013702</v>
      </c>
      <c r="E133" s="135">
        <f t="shared" si="44"/>
        <v>949.15769863013702</v>
      </c>
      <c r="F133" s="135">
        <f t="shared" si="45"/>
        <v>629.33282191780813</v>
      </c>
      <c r="G133" s="135">
        <f t="shared" si="46"/>
        <v>629.33282191780813</v>
      </c>
      <c r="H133" s="136">
        <v>3765.68</v>
      </c>
      <c r="J133" s="139">
        <v>948.84479999999996</v>
      </c>
      <c r="K133" s="139">
        <v>886.41223200000013</v>
      </c>
      <c r="L133" s="139">
        <v>588.98737199999994</v>
      </c>
      <c r="M133" s="139">
        <v>885.21454800000004</v>
      </c>
      <c r="N133" s="139">
        <v>442.60727400000002</v>
      </c>
      <c r="O133" s="139">
        <v>3765.6767999999997</v>
      </c>
      <c r="P133" s="120"/>
      <c r="Q133" s="120"/>
      <c r="R133" s="120"/>
    </row>
    <row r="134" spans="1:18" ht="14.1" customHeight="1" x14ac:dyDescent="0.2">
      <c r="A134" s="155"/>
      <c r="B134" s="99" t="s">
        <v>216</v>
      </c>
      <c r="C134" s="135">
        <f t="shared" si="42"/>
        <v>608.69895890410942</v>
      </c>
      <c r="D134" s="135">
        <f t="shared" si="43"/>
        <v>949.15769863013702</v>
      </c>
      <c r="E134" s="135">
        <f t="shared" si="44"/>
        <v>949.15769863013702</v>
      </c>
      <c r="F134" s="135">
        <f t="shared" si="45"/>
        <v>629.33282191780813</v>
      </c>
      <c r="G134" s="135">
        <f t="shared" si="46"/>
        <v>629.33282191780813</v>
      </c>
      <c r="H134" s="136">
        <v>3765.68</v>
      </c>
      <c r="J134" s="139">
        <v>948.84479999999996</v>
      </c>
      <c r="K134" s="139">
        <v>886.41223200000013</v>
      </c>
      <c r="L134" s="139">
        <v>588.98737199999994</v>
      </c>
      <c r="M134" s="139">
        <v>885.21454800000004</v>
      </c>
      <c r="N134" s="139">
        <v>442.60727400000002</v>
      </c>
      <c r="O134" s="139">
        <v>3765.6767999999997</v>
      </c>
      <c r="P134" s="120"/>
      <c r="Q134" s="120"/>
      <c r="R134" s="120"/>
    </row>
    <row r="135" spans="1:18" ht="14.1" customHeight="1" x14ac:dyDescent="0.2">
      <c r="A135" s="155"/>
      <c r="B135" s="99" t="s">
        <v>217</v>
      </c>
      <c r="C135" s="135">
        <f t="shared" si="42"/>
        <v>608.69895890410942</v>
      </c>
      <c r="D135" s="135">
        <f t="shared" si="43"/>
        <v>949.15769863013702</v>
      </c>
      <c r="E135" s="135">
        <f t="shared" si="44"/>
        <v>949.15769863013702</v>
      </c>
      <c r="F135" s="135">
        <f t="shared" si="45"/>
        <v>629.33282191780813</v>
      </c>
      <c r="G135" s="135">
        <f t="shared" si="46"/>
        <v>629.33282191780813</v>
      </c>
      <c r="H135" s="136">
        <v>3765.68</v>
      </c>
      <c r="J135" s="139">
        <v>948.84479999999996</v>
      </c>
      <c r="K135" s="139">
        <v>886.41223200000013</v>
      </c>
      <c r="L135" s="139">
        <v>588.98737199999994</v>
      </c>
      <c r="M135" s="139">
        <v>885.21454800000004</v>
      </c>
      <c r="N135" s="139">
        <v>442.60727400000002</v>
      </c>
      <c r="O135" s="139">
        <v>3765.6767999999997</v>
      </c>
      <c r="P135" s="120"/>
      <c r="Q135" s="120"/>
      <c r="R135" s="120"/>
    </row>
    <row r="136" spans="1:18" ht="14.1" customHeight="1" x14ac:dyDescent="0.2">
      <c r="A136" s="155"/>
      <c r="B136" s="99" t="s">
        <v>240</v>
      </c>
      <c r="C136" s="135">
        <f t="shared" si="42"/>
        <v>608.69895890410942</v>
      </c>
      <c r="D136" s="135">
        <f t="shared" si="43"/>
        <v>949.15769863013702</v>
      </c>
      <c r="E136" s="135">
        <f t="shared" si="44"/>
        <v>949.15769863013702</v>
      </c>
      <c r="F136" s="135">
        <f t="shared" si="45"/>
        <v>629.33282191780813</v>
      </c>
      <c r="G136" s="135">
        <f t="shared" si="46"/>
        <v>629.33282191780813</v>
      </c>
      <c r="H136" s="136">
        <v>3765.68</v>
      </c>
      <c r="J136" s="139">
        <v>948.84479999999996</v>
      </c>
      <c r="K136" s="139">
        <v>886.41223200000013</v>
      </c>
      <c r="L136" s="139">
        <v>588.98737199999994</v>
      </c>
      <c r="M136" s="139">
        <v>885.21454800000004</v>
      </c>
      <c r="N136" s="139">
        <v>442.60727400000002</v>
      </c>
      <c r="O136" s="139">
        <v>3765.6767999999997</v>
      </c>
      <c r="P136" s="120"/>
      <c r="Q136" s="120"/>
      <c r="R136" s="120"/>
    </row>
    <row r="137" spans="1:18" ht="14.1" customHeight="1" x14ac:dyDescent="0.2">
      <c r="A137" s="155"/>
      <c r="B137" s="99" t="s">
        <v>241</v>
      </c>
      <c r="C137" s="135">
        <f t="shared" si="42"/>
        <v>608.69895890410942</v>
      </c>
      <c r="D137" s="135">
        <f t="shared" si="43"/>
        <v>949.15769863013702</v>
      </c>
      <c r="E137" s="135">
        <f t="shared" si="44"/>
        <v>949.15769863013702</v>
      </c>
      <c r="F137" s="135">
        <f t="shared" si="45"/>
        <v>629.33282191780813</v>
      </c>
      <c r="G137" s="135">
        <f t="shared" si="46"/>
        <v>629.33282191780813</v>
      </c>
      <c r="H137" s="136">
        <v>3765.68</v>
      </c>
      <c r="J137" s="139">
        <v>948.84479999999996</v>
      </c>
      <c r="K137" s="139">
        <v>886.41223200000013</v>
      </c>
      <c r="L137" s="139">
        <v>588.98737199999994</v>
      </c>
      <c r="M137" s="139">
        <v>885.21454800000004</v>
      </c>
      <c r="N137" s="139">
        <v>442.60727400000002</v>
      </c>
      <c r="O137" s="139">
        <v>3765.6767999999997</v>
      </c>
      <c r="P137" s="120"/>
      <c r="Q137" s="120"/>
      <c r="R137" s="120"/>
    </row>
    <row r="138" spans="1:18" ht="14.1" customHeight="1" x14ac:dyDescent="0.2">
      <c r="A138" s="155"/>
      <c r="B138" s="99" t="s">
        <v>242</v>
      </c>
      <c r="C138" s="135">
        <f t="shared" si="42"/>
        <v>608.69895890410942</v>
      </c>
      <c r="D138" s="135">
        <f t="shared" si="43"/>
        <v>949.15769863013702</v>
      </c>
      <c r="E138" s="135">
        <f t="shared" si="44"/>
        <v>949.15769863013702</v>
      </c>
      <c r="F138" s="135">
        <f t="shared" si="45"/>
        <v>629.33282191780813</v>
      </c>
      <c r="G138" s="135">
        <f t="shared" si="46"/>
        <v>629.33282191780813</v>
      </c>
      <c r="H138" s="136">
        <v>3765.68</v>
      </c>
      <c r="J138" s="139">
        <v>948.84479999999996</v>
      </c>
      <c r="K138" s="139">
        <v>886.41223200000013</v>
      </c>
      <c r="L138" s="139">
        <v>588.98737199999994</v>
      </c>
      <c r="M138" s="139">
        <v>885.21454800000004</v>
      </c>
      <c r="N138" s="139">
        <v>442.60727400000002</v>
      </c>
      <c r="O138" s="139">
        <v>3765.6767999999997</v>
      </c>
      <c r="P138" s="120"/>
      <c r="Q138" s="120"/>
      <c r="R138" s="120"/>
    </row>
    <row r="139" spans="1:18" ht="14.1" customHeight="1" x14ac:dyDescent="0.2">
      <c r="A139" s="155"/>
      <c r="B139" s="99" t="s">
        <v>218</v>
      </c>
      <c r="C139" s="135">
        <f t="shared" si="42"/>
        <v>608.69895890410942</v>
      </c>
      <c r="D139" s="135">
        <f t="shared" si="43"/>
        <v>949.15769863013702</v>
      </c>
      <c r="E139" s="135">
        <f t="shared" si="44"/>
        <v>949.15769863013702</v>
      </c>
      <c r="F139" s="135">
        <f t="shared" si="45"/>
        <v>629.33282191780813</v>
      </c>
      <c r="G139" s="135">
        <f t="shared" si="46"/>
        <v>629.33282191780813</v>
      </c>
      <c r="H139" s="136">
        <v>3765.68</v>
      </c>
      <c r="J139" s="139">
        <v>948.84479999999996</v>
      </c>
      <c r="K139" s="139">
        <v>886.41223200000013</v>
      </c>
      <c r="L139" s="139">
        <v>588.98737199999994</v>
      </c>
      <c r="M139" s="139">
        <v>885.21454800000004</v>
      </c>
      <c r="N139" s="139">
        <v>442.60727400000002</v>
      </c>
      <c r="O139" s="139">
        <v>3765.6767999999997</v>
      </c>
      <c r="P139" s="120"/>
      <c r="Q139" s="120"/>
      <c r="R139" s="120"/>
    </row>
    <row r="140" spans="1:18" ht="14.1" customHeight="1" x14ac:dyDescent="0.2">
      <c r="A140" s="155"/>
      <c r="B140" s="99" t="s">
        <v>219</v>
      </c>
      <c r="C140" s="135">
        <f t="shared" si="42"/>
        <v>608.69895890410942</v>
      </c>
      <c r="D140" s="135">
        <f t="shared" si="43"/>
        <v>949.15769863013702</v>
      </c>
      <c r="E140" s="135">
        <f t="shared" si="44"/>
        <v>949.15769863013702</v>
      </c>
      <c r="F140" s="135">
        <f t="shared" si="45"/>
        <v>629.33282191780813</v>
      </c>
      <c r="G140" s="135">
        <f t="shared" si="46"/>
        <v>629.33282191780813</v>
      </c>
      <c r="H140" s="136">
        <v>3765.68</v>
      </c>
      <c r="J140" s="139">
        <v>948.84479999999996</v>
      </c>
      <c r="K140" s="139">
        <v>886.41223200000013</v>
      </c>
      <c r="L140" s="139">
        <v>588.98737199999994</v>
      </c>
      <c r="M140" s="139">
        <v>885.21454800000004</v>
      </c>
      <c r="N140" s="139">
        <v>442.60727400000002</v>
      </c>
      <c r="O140" s="139">
        <v>3765.6767999999997</v>
      </c>
      <c r="P140" s="120"/>
      <c r="Q140" s="120"/>
      <c r="R140" s="120"/>
    </row>
    <row r="141" spans="1:18" ht="14.1" customHeight="1" x14ac:dyDescent="0.2">
      <c r="A141" s="156"/>
      <c r="B141" s="99" t="s">
        <v>220</v>
      </c>
      <c r="C141" s="135">
        <f t="shared" si="42"/>
        <v>608.69895890410942</v>
      </c>
      <c r="D141" s="135">
        <f t="shared" si="43"/>
        <v>949.15769863013702</v>
      </c>
      <c r="E141" s="135">
        <f t="shared" si="44"/>
        <v>949.15769863013702</v>
      </c>
      <c r="F141" s="135">
        <f t="shared" si="45"/>
        <v>629.33282191780813</v>
      </c>
      <c r="G141" s="135">
        <f t="shared" si="46"/>
        <v>629.33282191780813</v>
      </c>
      <c r="H141" s="136">
        <v>3765.68</v>
      </c>
      <c r="J141" s="139">
        <v>948.84479999999996</v>
      </c>
      <c r="K141" s="139">
        <v>886.41223200000013</v>
      </c>
      <c r="L141" s="139">
        <v>588.98737199999994</v>
      </c>
      <c r="M141" s="139">
        <v>885.21454800000004</v>
      </c>
      <c r="N141" s="139">
        <v>442.60727400000002</v>
      </c>
      <c r="O141" s="139">
        <v>3765.6767999999997</v>
      </c>
      <c r="P141" s="120"/>
      <c r="Q141" s="120"/>
      <c r="R141" s="120"/>
    </row>
    <row r="142" spans="1:18" ht="14.1" customHeight="1" x14ac:dyDescent="0.2">
      <c r="A142" s="154" t="s">
        <v>229</v>
      </c>
      <c r="B142" s="99" t="s">
        <v>221</v>
      </c>
      <c r="C142" s="135">
        <f t="shared" si="42"/>
        <v>560.76832876712308</v>
      </c>
      <c r="D142" s="135">
        <f t="shared" si="43"/>
        <v>874.41841095890413</v>
      </c>
      <c r="E142" s="135">
        <f t="shared" si="44"/>
        <v>874.41841095890413</v>
      </c>
      <c r="F142" s="135">
        <f t="shared" si="45"/>
        <v>579.77742465753408</v>
      </c>
      <c r="G142" s="135">
        <f t="shared" si="46"/>
        <v>579.77742465753408</v>
      </c>
      <c r="H142" s="136">
        <v>3469.16</v>
      </c>
      <c r="J142" s="139">
        <v>948.84479999999996</v>
      </c>
      <c r="K142" s="139">
        <v>859.87020000000007</v>
      </c>
      <c r="L142" s="139">
        <v>504.07379999999995</v>
      </c>
      <c r="M142" s="139">
        <v>770.91599999999994</v>
      </c>
      <c r="N142" s="139">
        <v>385.45799999999997</v>
      </c>
      <c r="O142" s="139">
        <v>3469.1627999999996</v>
      </c>
      <c r="P142" s="120"/>
      <c r="Q142" s="120"/>
      <c r="R142" s="120"/>
    </row>
    <row r="143" spans="1:18" ht="14.1" customHeight="1" x14ac:dyDescent="0.2">
      <c r="A143" s="155"/>
      <c r="B143" s="99" t="s">
        <v>222</v>
      </c>
      <c r="C143" s="135">
        <f t="shared" si="42"/>
        <v>560.76832876712308</v>
      </c>
      <c r="D143" s="135">
        <f t="shared" si="43"/>
        <v>874.41841095890413</v>
      </c>
      <c r="E143" s="135">
        <f t="shared" si="44"/>
        <v>874.41841095890413</v>
      </c>
      <c r="F143" s="135">
        <f t="shared" si="45"/>
        <v>579.77742465753408</v>
      </c>
      <c r="G143" s="135">
        <f t="shared" si="46"/>
        <v>579.77742465753408</v>
      </c>
      <c r="H143" s="136">
        <v>3469.16</v>
      </c>
      <c r="J143" s="139">
        <v>948.84479999999996</v>
      </c>
      <c r="K143" s="139">
        <v>859.87020000000007</v>
      </c>
      <c r="L143" s="139">
        <v>504.07379999999995</v>
      </c>
      <c r="M143" s="139">
        <v>770.91599999999994</v>
      </c>
      <c r="N143" s="139">
        <v>385.45799999999997</v>
      </c>
      <c r="O143" s="139">
        <v>3469.1627999999996</v>
      </c>
      <c r="P143" s="120"/>
      <c r="Q143" s="120"/>
      <c r="R143" s="120"/>
    </row>
    <row r="144" spans="1:18" ht="14.1" customHeight="1" x14ac:dyDescent="0.2">
      <c r="A144" s="155"/>
      <c r="B144" s="99" t="s">
        <v>223</v>
      </c>
      <c r="C144" s="135">
        <f t="shared" si="42"/>
        <v>560.76832876712308</v>
      </c>
      <c r="D144" s="135">
        <f t="shared" si="43"/>
        <v>874.41841095890413</v>
      </c>
      <c r="E144" s="135">
        <f t="shared" si="44"/>
        <v>874.41841095890413</v>
      </c>
      <c r="F144" s="135">
        <f t="shared" si="45"/>
        <v>579.77742465753408</v>
      </c>
      <c r="G144" s="135">
        <f t="shared" si="46"/>
        <v>579.77742465753408</v>
      </c>
      <c r="H144" s="136">
        <v>3469.16</v>
      </c>
      <c r="J144" s="139">
        <v>948.84479999999996</v>
      </c>
      <c r="K144" s="139">
        <v>859.87020000000007</v>
      </c>
      <c r="L144" s="139">
        <v>504.07379999999995</v>
      </c>
      <c r="M144" s="139">
        <v>770.91599999999994</v>
      </c>
      <c r="N144" s="139">
        <v>385.45799999999997</v>
      </c>
      <c r="O144" s="139">
        <v>3469.1627999999996</v>
      </c>
      <c r="P144" s="120"/>
      <c r="Q144" s="120"/>
      <c r="R144" s="120"/>
    </row>
    <row r="145" spans="1:18" ht="14.1" customHeight="1" x14ac:dyDescent="0.2">
      <c r="A145" s="155"/>
      <c r="B145" s="99" t="s">
        <v>230</v>
      </c>
      <c r="C145" s="135">
        <f t="shared" si="42"/>
        <v>560.76832876712308</v>
      </c>
      <c r="D145" s="135">
        <f t="shared" si="43"/>
        <v>874.41841095890413</v>
      </c>
      <c r="E145" s="135">
        <f t="shared" si="44"/>
        <v>874.41841095890413</v>
      </c>
      <c r="F145" s="135">
        <f t="shared" si="45"/>
        <v>579.77742465753408</v>
      </c>
      <c r="G145" s="135">
        <f t="shared" si="46"/>
        <v>579.77742465753408</v>
      </c>
      <c r="H145" s="136">
        <v>3469.16</v>
      </c>
      <c r="J145" s="139">
        <v>948.84479999999996</v>
      </c>
      <c r="K145" s="139">
        <v>859.87020000000007</v>
      </c>
      <c r="L145" s="139">
        <v>504.07379999999995</v>
      </c>
      <c r="M145" s="139">
        <v>770.91599999999994</v>
      </c>
      <c r="N145" s="139">
        <v>385.45799999999997</v>
      </c>
      <c r="O145" s="139">
        <v>3469.1627999999996</v>
      </c>
      <c r="P145" s="120"/>
      <c r="Q145" s="120"/>
      <c r="R145" s="120"/>
    </row>
    <row r="146" spans="1:18" ht="14.1" customHeight="1" x14ac:dyDescent="0.2">
      <c r="A146" s="155"/>
      <c r="B146" s="99" t="s">
        <v>231</v>
      </c>
      <c r="C146" s="135">
        <f t="shared" si="42"/>
        <v>560.76832876712308</v>
      </c>
      <c r="D146" s="135">
        <f t="shared" si="43"/>
        <v>874.41841095890413</v>
      </c>
      <c r="E146" s="135">
        <f t="shared" si="44"/>
        <v>874.41841095890413</v>
      </c>
      <c r="F146" s="135">
        <f t="shared" si="45"/>
        <v>579.77742465753408</v>
      </c>
      <c r="G146" s="135">
        <f t="shared" si="46"/>
        <v>579.77742465753408</v>
      </c>
      <c r="H146" s="136">
        <v>3469.16</v>
      </c>
      <c r="J146" s="139">
        <v>948.84479999999996</v>
      </c>
      <c r="K146" s="139">
        <v>859.87020000000007</v>
      </c>
      <c r="L146" s="139">
        <v>504.07379999999995</v>
      </c>
      <c r="M146" s="139">
        <v>770.91599999999994</v>
      </c>
      <c r="N146" s="139">
        <v>385.45799999999997</v>
      </c>
      <c r="O146" s="139">
        <v>3469.1627999999996</v>
      </c>
      <c r="P146" s="120"/>
      <c r="Q146" s="120"/>
      <c r="R146" s="120"/>
    </row>
    <row r="147" spans="1:18" ht="14.1" customHeight="1" x14ac:dyDescent="0.2">
      <c r="A147" s="155"/>
      <c r="B147" s="99" t="s">
        <v>232</v>
      </c>
      <c r="C147" s="135">
        <f t="shared" si="42"/>
        <v>560.76832876712308</v>
      </c>
      <c r="D147" s="135">
        <f t="shared" si="43"/>
        <v>874.41841095890413</v>
      </c>
      <c r="E147" s="135">
        <f t="shared" si="44"/>
        <v>874.41841095890413</v>
      </c>
      <c r="F147" s="135">
        <f t="shared" si="45"/>
        <v>579.77742465753408</v>
      </c>
      <c r="G147" s="135">
        <f t="shared" si="46"/>
        <v>579.77742465753408</v>
      </c>
      <c r="H147" s="136">
        <v>3469.16</v>
      </c>
      <c r="J147" s="139">
        <v>948.84479999999996</v>
      </c>
      <c r="K147" s="139">
        <v>859.87020000000007</v>
      </c>
      <c r="L147" s="139">
        <v>504.07379999999995</v>
      </c>
      <c r="M147" s="139">
        <v>770.91599999999994</v>
      </c>
      <c r="N147" s="139">
        <v>385.45799999999997</v>
      </c>
      <c r="O147" s="139">
        <v>3469.1627999999996</v>
      </c>
      <c r="P147" s="120"/>
      <c r="Q147" s="120"/>
      <c r="R147" s="120"/>
    </row>
    <row r="148" spans="1:18" ht="14.1" customHeight="1" x14ac:dyDescent="0.2">
      <c r="A148" s="155"/>
      <c r="B148" s="99" t="s">
        <v>233</v>
      </c>
      <c r="C148" s="135">
        <f t="shared" si="42"/>
        <v>560.76832876712308</v>
      </c>
      <c r="D148" s="135">
        <f t="shared" si="43"/>
        <v>874.41841095890413</v>
      </c>
      <c r="E148" s="135">
        <f t="shared" si="44"/>
        <v>874.41841095890413</v>
      </c>
      <c r="F148" s="135">
        <f t="shared" si="45"/>
        <v>579.77742465753408</v>
      </c>
      <c r="G148" s="135">
        <f t="shared" si="46"/>
        <v>579.77742465753408</v>
      </c>
      <c r="H148" s="136">
        <v>3469.16</v>
      </c>
      <c r="J148" s="139">
        <v>948.84479999999996</v>
      </c>
      <c r="K148" s="139">
        <v>859.87020000000007</v>
      </c>
      <c r="L148" s="139">
        <v>504.07379999999995</v>
      </c>
      <c r="M148" s="139">
        <v>770.91599999999994</v>
      </c>
      <c r="N148" s="139">
        <v>385.45799999999997</v>
      </c>
      <c r="O148" s="139">
        <v>3469.1627999999996</v>
      </c>
      <c r="P148" s="120"/>
      <c r="Q148" s="120"/>
      <c r="R148" s="120"/>
    </row>
    <row r="149" spans="1:18" ht="14.1" customHeight="1" x14ac:dyDescent="0.2">
      <c r="A149" s="155"/>
      <c r="B149" s="99" t="s">
        <v>234</v>
      </c>
      <c r="C149" s="135">
        <f t="shared" si="42"/>
        <v>560.76832876712308</v>
      </c>
      <c r="D149" s="135">
        <f t="shared" si="43"/>
        <v>874.41841095890413</v>
      </c>
      <c r="E149" s="135">
        <f t="shared" si="44"/>
        <v>874.41841095890413</v>
      </c>
      <c r="F149" s="135">
        <f t="shared" si="45"/>
        <v>579.77742465753408</v>
      </c>
      <c r="G149" s="135">
        <f t="shared" si="46"/>
        <v>579.77742465753408</v>
      </c>
      <c r="H149" s="136">
        <v>3469.16</v>
      </c>
      <c r="J149" s="139">
        <v>948.84479999999996</v>
      </c>
      <c r="K149" s="139">
        <v>859.87020000000007</v>
      </c>
      <c r="L149" s="139">
        <v>504.07379999999995</v>
      </c>
      <c r="M149" s="139">
        <v>770.91599999999994</v>
      </c>
      <c r="N149" s="139">
        <v>385.45799999999997</v>
      </c>
      <c r="O149" s="139">
        <v>3469.1627999999996</v>
      </c>
      <c r="P149" s="120"/>
      <c r="Q149" s="120"/>
      <c r="R149" s="120"/>
    </row>
    <row r="150" spans="1:18" ht="14.1" customHeight="1" x14ac:dyDescent="0.2">
      <c r="A150" s="156"/>
      <c r="B150" s="99" t="s">
        <v>224</v>
      </c>
      <c r="C150" s="135">
        <f t="shared" si="42"/>
        <v>560.76832876712308</v>
      </c>
      <c r="D150" s="135">
        <f t="shared" si="43"/>
        <v>874.41841095890413</v>
      </c>
      <c r="E150" s="135">
        <f t="shared" si="44"/>
        <v>874.41841095890413</v>
      </c>
      <c r="F150" s="135">
        <f t="shared" si="45"/>
        <v>579.77742465753408</v>
      </c>
      <c r="G150" s="135">
        <f t="shared" si="46"/>
        <v>579.77742465753408</v>
      </c>
      <c r="H150" s="136">
        <v>3469.16</v>
      </c>
      <c r="J150" s="139">
        <v>948.84479999999996</v>
      </c>
      <c r="K150" s="139">
        <v>859.87020000000007</v>
      </c>
      <c r="L150" s="139">
        <v>504.07379999999995</v>
      </c>
      <c r="M150" s="139">
        <v>770.91599999999994</v>
      </c>
      <c r="N150" s="139">
        <v>385.45799999999997</v>
      </c>
      <c r="O150" s="139">
        <v>3469.1627999999996</v>
      </c>
      <c r="P150" s="120"/>
      <c r="Q150" s="120"/>
      <c r="R150" s="120"/>
    </row>
    <row r="152" spans="1:18" ht="14.1" customHeight="1" x14ac:dyDescent="0.2">
      <c r="D152" s="1"/>
      <c r="E152" s="1"/>
      <c r="F152" s="1"/>
    </row>
    <row r="153" spans="1:18" ht="14.1" customHeight="1" x14ac:dyDescent="0.2">
      <c r="D153" s="1"/>
      <c r="E153" s="1"/>
      <c r="F153" s="1"/>
    </row>
    <row r="154" spans="1:18" ht="14.1" customHeight="1" x14ac:dyDescent="0.2">
      <c r="B154" s="100"/>
      <c r="D154" s="1"/>
      <c r="E154" s="1"/>
      <c r="F154" s="1"/>
    </row>
    <row r="155" spans="1:18" ht="14.1" customHeight="1" x14ac:dyDescent="0.2">
      <c r="A155" s="100"/>
      <c r="B155" s="100"/>
      <c r="D155" s="1"/>
      <c r="E155" s="1"/>
      <c r="F155" s="1"/>
    </row>
    <row r="156" spans="1:18" ht="14.1" customHeight="1" x14ac:dyDescent="0.2">
      <c r="A156" s="100"/>
      <c r="B156" s="100"/>
      <c r="D156" s="1"/>
      <c r="E156" s="1"/>
      <c r="F156" s="1"/>
    </row>
    <row r="157" spans="1:18" ht="14.1" customHeight="1" x14ac:dyDescent="0.2">
      <c r="A157" s="100"/>
      <c r="B157" s="100"/>
      <c r="D157" s="1"/>
      <c r="E157" s="1"/>
      <c r="F157" s="1"/>
    </row>
    <row r="158" spans="1:18" ht="14.1" customHeight="1" x14ac:dyDescent="0.2">
      <c r="A158" s="100"/>
      <c r="B158" s="100"/>
      <c r="D158" s="1"/>
      <c r="E158" s="1"/>
      <c r="F158" s="1"/>
    </row>
    <row r="159" spans="1:18" ht="14.1" customHeight="1" x14ac:dyDescent="0.2">
      <c r="A159" s="100"/>
      <c r="B159" s="100"/>
      <c r="D159" s="1"/>
      <c r="E159" s="1"/>
      <c r="F159" s="1"/>
    </row>
    <row r="160" spans="1:18" ht="14.1" customHeight="1" x14ac:dyDescent="0.2">
      <c r="A160" s="100"/>
      <c r="B160" s="100"/>
      <c r="D160" s="1"/>
      <c r="E160" s="1"/>
      <c r="F160" s="1"/>
    </row>
    <row r="161" spans="1:4" ht="14.1" customHeight="1" x14ac:dyDescent="0.2">
      <c r="A161" s="100"/>
      <c r="B161" s="100"/>
      <c r="C161" s="106"/>
      <c r="D161" s="106"/>
    </row>
    <row r="162" spans="1:4" ht="14.1" customHeight="1" x14ac:dyDescent="0.2">
      <c r="B162" s="100"/>
    </row>
    <row r="163" spans="1:4" ht="14.1" customHeight="1" x14ac:dyDescent="0.2">
      <c r="A163" s="100"/>
      <c r="B163" s="100"/>
    </row>
    <row r="164" spans="1:4" ht="14.1" customHeight="1" x14ac:dyDescent="0.2">
      <c r="A164" s="100"/>
      <c r="B164" s="100"/>
    </row>
    <row r="165" spans="1:4" ht="14.1" customHeight="1" x14ac:dyDescent="0.2">
      <c r="A165" s="100"/>
      <c r="B165" s="100"/>
    </row>
    <row r="166" spans="1:4" ht="14.1" customHeight="1" x14ac:dyDescent="0.2">
      <c r="A166" s="100"/>
      <c r="B166" s="100"/>
    </row>
    <row r="167" spans="1:4" ht="14.1" customHeight="1" x14ac:dyDescent="0.2">
      <c r="A167" s="100"/>
      <c r="B167" s="100"/>
    </row>
    <row r="168" spans="1:4" ht="14.1" customHeight="1" x14ac:dyDescent="0.2">
      <c r="A168" s="100"/>
      <c r="B168" s="100"/>
    </row>
    <row r="169" spans="1:4" ht="14.1" customHeight="1" x14ac:dyDescent="0.2">
      <c r="B169" s="100"/>
    </row>
  </sheetData>
  <sheetProtection algorithmName="SHA-512" hashValue="e8N1BKvctFt+J8d79WHe8EXJwPTRMQbV5IuMwU9E9rPcIa/0PUpryRlTqf83+uE2hhqoPdtSAZK7SfUnkVv43A==" saltValue="FoInyDUiyz4fH8qzhY+4jw==" spinCount="100000" sheet="1" objects="1" scenarios="1" formatCells="0"/>
  <mergeCells count="7">
    <mergeCell ref="A142:A150"/>
    <mergeCell ref="G95:I95"/>
    <mergeCell ref="B104:H104"/>
    <mergeCell ref="B105:H105"/>
    <mergeCell ref="A109:A115"/>
    <mergeCell ref="A116:A123"/>
    <mergeCell ref="A124:A141"/>
  </mergeCells>
  <pageMargins left="0.19685039370078741" right="0.19685039370078741" top="0.43307086614173229" bottom="0.43307086614173229" header="0" footer="0"/>
  <pageSetup paperSize="8" scale="88" fitToHeight="0" orientation="landscape" r:id="rId1"/>
  <headerFooter alignWithMargins="0">
    <oddHeader>&amp;LUniversidad de Granada&amp;CRetribuciones PTGAS Laboral  2024 
Real Decreto-ley 4/2024, de 26 de junio&amp;R&amp;D</oddHeader>
    <oddFooter>&amp;LServicio de Habilitación&amp;RPágina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PAS Funcionario</vt:lpstr>
      <vt:lpstr>PAS Laboral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2025-08-28T09:20:01Z</dcterms:modified>
</cp:coreProperties>
</file>