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13_ncr:1_{9CE7A353-1755-4F27-8377-80C07EEA17A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DI Funcionario e Interino" sheetId="9" r:id="rId1"/>
    <sheet name="PDI Contratado LOU-LOSU" sheetId="6" r:id="rId2"/>
    <sheet name="Plazas Vinculadas" sheetId="10" r:id="rId3"/>
  </sheets>
  <calcPr calcId="191029" concurrentCalc="0"/>
</workbook>
</file>

<file path=xl/calcChain.xml><?xml version="1.0" encoding="utf-8"?>
<calcChain xmlns="http://schemas.openxmlformats.org/spreadsheetml/2006/main">
  <c r="H42" i="6" l="1"/>
  <c r="I2" i="9"/>
  <c r="G2" i="9"/>
  <c r="L5" i="10"/>
  <c r="M6" i="10"/>
  <c r="M5" i="10"/>
  <c r="D19" i="6"/>
  <c r="G19" i="6"/>
  <c r="H30" i="6"/>
  <c r="H29" i="6"/>
  <c r="H28" i="6"/>
  <c r="H27" i="6"/>
  <c r="H26" i="6"/>
  <c r="G30" i="6"/>
  <c r="G29" i="6"/>
  <c r="G28" i="6"/>
  <c r="G27" i="6"/>
  <c r="G26" i="6"/>
  <c r="D11" i="6"/>
  <c r="H46" i="10"/>
  <c r="H45" i="10"/>
  <c r="H44" i="10"/>
  <c r="G46" i="10"/>
  <c r="G45" i="10"/>
  <c r="G44" i="10"/>
  <c r="F46" i="10"/>
  <c r="F45" i="10"/>
  <c r="F44" i="10"/>
  <c r="E46" i="10"/>
  <c r="E45" i="10"/>
  <c r="E44" i="10"/>
  <c r="D46" i="10"/>
  <c r="D45" i="10"/>
  <c r="D44" i="10"/>
  <c r="L26" i="10"/>
  <c r="L41" i="10"/>
  <c r="L40" i="10"/>
  <c r="L24" i="10"/>
  <c r="L39" i="10"/>
  <c r="L38" i="10"/>
  <c r="L27" i="10"/>
  <c r="L25" i="10"/>
  <c r="L22" i="10"/>
  <c r="L23" i="10"/>
  <c r="L11" i="10"/>
  <c r="L36" i="10"/>
  <c r="L35" i="10"/>
  <c r="L21" i="10"/>
  <c r="L20" i="10"/>
  <c r="L12" i="10"/>
  <c r="L9" i="10"/>
  <c r="L34" i="10"/>
  <c r="L33" i="10"/>
  <c r="L19" i="10"/>
  <c r="L18" i="10"/>
  <c r="L10" i="10"/>
  <c r="L7" i="10"/>
  <c r="L32" i="10"/>
  <c r="L31" i="10"/>
  <c r="L17" i="10"/>
  <c r="L16" i="10"/>
  <c r="L8" i="10"/>
  <c r="L30" i="10"/>
  <c r="L29" i="10"/>
  <c r="L15" i="10"/>
  <c r="L14" i="10"/>
  <c r="L6" i="10"/>
  <c r="J40" i="10"/>
  <c r="J38" i="10"/>
  <c r="J35" i="10"/>
  <c r="J33" i="10"/>
  <c r="J29" i="10"/>
  <c r="J31" i="10"/>
  <c r="I29" i="10"/>
  <c r="I40" i="10"/>
  <c r="I38" i="10"/>
  <c r="I35" i="10"/>
  <c r="I33" i="10"/>
  <c r="I31" i="10"/>
  <c r="J26" i="10"/>
  <c r="J24" i="10"/>
  <c r="J22" i="10"/>
  <c r="J20" i="10"/>
  <c r="J18" i="10"/>
  <c r="J14" i="10"/>
  <c r="J16" i="10"/>
  <c r="I14" i="10"/>
  <c r="I26" i="10"/>
  <c r="I24" i="10"/>
  <c r="I22" i="10"/>
  <c r="I20" i="10"/>
  <c r="I18" i="10"/>
  <c r="I16" i="10"/>
  <c r="I5" i="10"/>
  <c r="I11" i="10"/>
  <c r="I9" i="10"/>
  <c r="I7" i="10"/>
  <c r="G41" i="10"/>
  <c r="G39" i="10"/>
  <c r="G38" i="10"/>
  <c r="G36" i="10"/>
  <c r="G35" i="10"/>
  <c r="G34" i="10"/>
  <c r="G33" i="10"/>
  <c r="G32" i="10"/>
  <c r="G31" i="10"/>
  <c r="G30" i="10"/>
  <c r="G29" i="10"/>
  <c r="G27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2" i="10"/>
  <c r="G11" i="10"/>
  <c r="G10" i="10"/>
  <c r="G9" i="10"/>
  <c r="G8" i="10"/>
  <c r="G7" i="10"/>
  <c r="G6" i="10"/>
  <c r="G5" i="10"/>
  <c r="F30" i="10"/>
  <c r="F41" i="10"/>
  <c r="F39" i="10"/>
  <c r="F36" i="10"/>
  <c r="F34" i="10"/>
  <c r="F32" i="10"/>
  <c r="F29" i="10"/>
  <c r="F40" i="10"/>
  <c r="F38" i="10"/>
  <c r="F35" i="10"/>
  <c r="F33" i="10"/>
  <c r="F31" i="10"/>
  <c r="F15" i="10"/>
  <c r="F27" i="10"/>
  <c r="F25" i="10"/>
  <c r="F23" i="10"/>
  <c r="F21" i="10"/>
  <c r="F19" i="10"/>
  <c r="F17" i="10"/>
  <c r="F14" i="10"/>
  <c r="F26" i="10"/>
  <c r="F24" i="10"/>
  <c r="F22" i="10"/>
  <c r="F20" i="10"/>
  <c r="F18" i="10"/>
  <c r="F16" i="10"/>
  <c r="F6" i="10"/>
  <c r="F12" i="10"/>
  <c r="F10" i="10"/>
  <c r="F8" i="10"/>
  <c r="F5" i="10"/>
  <c r="F11" i="10"/>
  <c r="F9" i="10"/>
  <c r="F7" i="10"/>
  <c r="D6" i="10"/>
  <c r="C6" i="10"/>
  <c r="C5" i="10"/>
  <c r="G42" i="6"/>
  <c r="B40" i="6"/>
  <c r="D15" i="6"/>
  <c r="D14" i="6"/>
  <c r="C14" i="6"/>
  <c r="K50" i="9"/>
  <c r="K49" i="9"/>
  <c r="K48" i="9"/>
  <c r="K47" i="9"/>
  <c r="K46" i="9"/>
  <c r="L46" i="9"/>
  <c r="F49" i="9"/>
  <c r="F48" i="9"/>
  <c r="F47" i="9"/>
  <c r="F46" i="9"/>
  <c r="F45" i="9"/>
  <c r="F44" i="9"/>
  <c r="F43" i="9"/>
  <c r="F42" i="9"/>
  <c r="L38" i="9"/>
  <c r="L37" i="9"/>
  <c r="L36" i="9"/>
  <c r="L35" i="9"/>
  <c r="L34" i="9"/>
  <c r="I42" i="9"/>
  <c r="K38" i="9"/>
  <c r="K37" i="9"/>
  <c r="K36" i="9"/>
  <c r="K35" i="9"/>
  <c r="K34" i="9"/>
  <c r="H26" i="9"/>
  <c r="H25" i="9"/>
  <c r="H24" i="9"/>
  <c r="H23" i="9"/>
  <c r="H22" i="9"/>
  <c r="C22" i="9"/>
  <c r="M14" i="9"/>
  <c r="E14" i="9"/>
  <c r="M8" i="9"/>
  <c r="E8" i="9"/>
  <c r="M2" i="9"/>
  <c r="L2" i="9"/>
  <c r="E2" i="9"/>
  <c r="L47" i="9"/>
  <c r="L48" i="9"/>
  <c r="L49" i="9"/>
  <c r="L50" i="9"/>
  <c r="K40" i="10"/>
  <c r="K38" i="10"/>
  <c r="D27" i="6"/>
  <c r="D9" i="6"/>
  <c r="F22" i="9"/>
  <c r="F27" i="9"/>
  <c r="T39" i="9"/>
  <c r="N40" i="9"/>
  <c r="N41" i="9"/>
  <c r="N37" i="9"/>
  <c r="N36" i="9"/>
  <c r="D41" i="10"/>
  <c r="D39" i="10"/>
  <c r="D36" i="10"/>
  <c r="D34" i="10"/>
  <c r="D32" i="10"/>
  <c r="D30" i="10"/>
  <c r="D27" i="10"/>
  <c r="D25" i="10"/>
  <c r="D23" i="10"/>
  <c r="C23" i="10"/>
  <c r="E23" i="10"/>
  <c r="D21" i="10"/>
  <c r="C21" i="10"/>
  <c r="E21" i="10"/>
  <c r="D19" i="10"/>
  <c r="D17" i="10"/>
  <c r="D15" i="10"/>
  <c r="C15" i="10"/>
  <c r="E15" i="10"/>
  <c r="D12" i="10"/>
  <c r="D10" i="10"/>
  <c r="D8" i="10"/>
  <c r="C41" i="10"/>
  <c r="C39" i="10"/>
  <c r="E39" i="10"/>
  <c r="C36" i="10"/>
  <c r="C34" i="10"/>
  <c r="E34" i="10"/>
  <c r="C32" i="10"/>
  <c r="E32" i="10"/>
  <c r="C30" i="10"/>
  <c r="E30" i="10"/>
  <c r="C27" i="10"/>
  <c r="E27" i="10"/>
  <c r="C25" i="10"/>
  <c r="E25" i="10"/>
  <c r="C19" i="10"/>
  <c r="E19" i="10"/>
  <c r="C17" i="10"/>
  <c r="C12" i="10"/>
  <c r="E12" i="10"/>
  <c r="C10" i="10"/>
  <c r="E10" i="10"/>
  <c r="C8" i="10"/>
  <c r="E8" i="10"/>
  <c r="H8" i="10"/>
  <c r="M8" i="10"/>
  <c r="C40" i="10"/>
  <c r="C38" i="10"/>
  <c r="E38" i="10"/>
  <c r="C35" i="10"/>
  <c r="E35" i="10"/>
  <c r="C33" i="10"/>
  <c r="E33" i="10"/>
  <c r="M33" i="10"/>
  <c r="K33" i="10"/>
  <c r="H33" i="10"/>
  <c r="N33" i="10"/>
  <c r="C31" i="10"/>
  <c r="C29" i="10"/>
  <c r="E29" i="10"/>
  <c r="C26" i="10"/>
  <c r="E26" i="10"/>
  <c r="C24" i="10"/>
  <c r="E24" i="10"/>
  <c r="C22" i="10"/>
  <c r="C20" i="10"/>
  <c r="E20" i="10"/>
  <c r="C18" i="10"/>
  <c r="C16" i="10"/>
  <c r="E16" i="10"/>
  <c r="C14" i="10"/>
  <c r="E14" i="10"/>
  <c r="C11" i="10"/>
  <c r="E11" i="10"/>
  <c r="C9" i="10"/>
  <c r="C7" i="10"/>
  <c r="E7" i="10"/>
  <c r="H39" i="10"/>
  <c r="M39" i="10"/>
  <c r="E40" i="10"/>
  <c r="H40" i="10"/>
  <c r="M40" i="10"/>
  <c r="E41" i="10"/>
  <c r="H41" i="10"/>
  <c r="M41" i="10"/>
  <c r="H38" i="10"/>
  <c r="M38" i="10"/>
  <c r="H30" i="10"/>
  <c r="M30" i="10"/>
  <c r="E31" i="10"/>
  <c r="H31" i="10"/>
  <c r="K31" i="10"/>
  <c r="M31" i="10"/>
  <c r="H32" i="10"/>
  <c r="M32" i="10"/>
  <c r="H34" i="10"/>
  <c r="M34" i="10"/>
  <c r="H35" i="10"/>
  <c r="K35" i="10"/>
  <c r="M35" i="10"/>
  <c r="E36" i="10"/>
  <c r="H36" i="10"/>
  <c r="M36" i="10"/>
  <c r="H29" i="10"/>
  <c r="K29" i="10"/>
  <c r="M29" i="10"/>
  <c r="H15" i="10"/>
  <c r="M15" i="10"/>
  <c r="H16" i="10"/>
  <c r="K16" i="10"/>
  <c r="M16" i="10"/>
  <c r="H17" i="10"/>
  <c r="M17" i="10"/>
  <c r="E18" i="10"/>
  <c r="H18" i="10"/>
  <c r="M18" i="10"/>
  <c r="K18" i="10"/>
  <c r="H19" i="10"/>
  <c r="M19" i="10"/>
  <c r="H20" i="10"/>
  <c r="M20" i="10"/>
  <c r="K20" i="10"/>
  <c r="H21" i="10"/>
  <c r="M21" i="10"/>
  <c r="E22" i="10"/>
  <c r="H22" i="10"/>
  <c r="M22" i="10"/>
  <c r="K22" i="10"/>
  <c r="H23" i="10"/>
  <c r="M23" i="10"/>
  <c r="H24" i="10"/>
  <c r="K24" i="10"/>
  <c r="M24" i="10"/>
  <c r="H25" i="10"/>
  <c r="M25" i="10"/>
  <c r="H26" i="10"/>
  <c r="M26" i="10"/>
  <c r="K26" i="10"/>
  <c r="H27" i="10"/>
  <c r="M27" i="10"/>
  <c r="H14" i="10"/>
  <c r="K14" i="10"/>
  <c r="M14" i="10"/>
  <c r="E6" i="10"/>
  <c r="H6" i="10"/>
  <c r="H7" i="10"/>
  <c r="K7" i="10"/>
  <c r="M7" i="10"/>
  <c r="E9" i="10"/>
  <c r="H9" i="10"/>
  <c r="K9" i="10"/>
  <c r="M9" i="10"/>
  <c r="H10" i="10"/>
  <c r="M10" i="10"/>
  <c r="H11" i="10"/>
  <c r="K11" i="10"/>
  <c r="M11" i="10"/>
  <c r="H12" i="10"/>
  <c r="M12" i="10"/>
  <c r="E5" i="10"/>
  <c r="H5" i="10"/>
  <c r="K5" i="10"/>
  <c r="K39" i="10"/>
  <c r="K41" i="10"/>
  <c r="K30" i="10"/>
  <c r="K32" i="10"/>
  <c r="K34" i="10"/>
  <c r="K36" i="10"/>
  <c r="K15" i="10"/>
  <c r="K17" i="10"/>
  <c r="K19" i="10"/>
  <c r="K21" i="10"/>
  <c r="K23" i="10"/>
  <c r="K25" i="10"/>
  <c r="K27" i="10"/>
  <c r="K6" i="10"/>
  <c r="K8" i="10"/>
  <c r="K10" i="10"/>
  <c r="K12" i="10"/>
  <c r="G11" i="6"/>
  <c r="D8" i="6"/>
  <c r="G8" i="6"/>
  <c r="G14" i="6"/>
  <c r="G49" i="9"/>
  <c r="G48" i="9"/>
  <c r="G47" i="9"/>
  <c r="G46" i="9"/>
  <c r="G45" i="9"/>
  <c r="G44" i="9"/>
  <c r="G43" i="9"/>
  <c r="G42" i="9"/>
  <c r="C9" i="6"/>
  <c r="H14" i="9"/>
  <c r="H17" i="9"/>
  <c r="H8" i="9"/>
  <c r="H11" i="9"/>
  <c r="H2" i="9"/>
  <c r="H4" i="9"/>
  <c r="C23" i="9"/>
  <c r="L6" i="9"/>
  <c r="L5" i="9"/>
  <c r="L4" i="9"/>
  <c r="L3" i="9"/>
  <c r="I6" i="9"/>
  <c r="I5" i="9"/>
  <c r="I4" i="9"/>
  <c r="I3" i="9"/>
  <c r="G6" i="9"/>
  <c r="D6" i="9"/>
  <c r="G5" i="9"/>
  <c r="G4" i="9"/>
  <c r="G3" i="9"/>
  <c r="D3" i="9"/>
  <c r="E18" i="9"/>
  <c r="E17" i="9"/>
  <c r="E16" i="9"/>
  <c r="E12" i="9"/>
  <c r="E11" i="9"/>
  <c r="E10" i="9"/>
  <c r="E6" i="9"/>
  <c r="E5" i="9"/>
  <c r="E4" i="9"/>
  <c r="C4" i="9"/>
  <c r="D4" i="9"/>
  <c r="D18" i="9"/>
  <c r="D17" i="9"/>
  <c r="D12" i="9"/>
  <c r="D11" i="9"/>
  <c r="C6" i="9"/>
  <c r="D5" i="9"/>
  <c r="C5" i="9"/>
  <c r="C3" i="9"/>
  <c r="D16" i="9"/>
  <c r="D10" i="9"/>
  <c r="E15" i="9"/>
  <c r="E9" i="9"/>
  <c r="E3" i="9"/>
  <c r="D15" i="9"/>
  <c r="D9" i="9"/>
  <c r="C27" i="9"/>
  <c r="F26" i="9"/>
  <c r="C26" i="9"/>
  <c r="C25" i="9"/>
  <c r="F24" i="9"/>
  <c r="C24" i="9"/>
  <c r="L14" i="9"/>
  <c r="L16" i="9"/>
  <c r="L8" i="9"/>
  <c r="L10" i="9"/>
  <c r="I14" i="9"/>
  <c r="I15" i="9"/>
  <c r="I8" i="9"/>
  <c r="I12" i="9"/>
  <c r="G14" i="9"/>
  <c r="G18" i="9"/>
  <c r="G8" i="9"/>
  <c r="G10" i="9"/>
  <c r="C14" i="9"/>
  <c r="C17" i="9"/>
  <c r="C8" i="9"/>
  <c r="F8" i="9"/>
  <c r="J2" i="9"/>
  <c r="F2" i="9"/>
  <c r="K2" i="9"/>
  <c r="F14" i="9"/>
  <c r="C18" i="9"/>
  <c r="C21" i="6"/>
  <c r="D20" i="6"/>
  <c r="G20" i="6"/>
  <c r="C20" i="6"/>
  <c r="C19" i="6"/>
  <c r="C18" i="6"/>
  <c r="D17" i="6"/>
  <c r="G17" i="6"/>
  <c r="C17" i="6"/>
  <c r="D16" i="6"/>
  <c r="G16" i="6"/>
  <c r="C16" i="6"/>
  <c r="D13" i="6"/>
  <c r="C13" i="6"/>
  <c r="D12" i="6"/>
  <c r="C12" i="6"/>
  <c r="C11" i="6"/>
  <c r="F11" i="6"/>
  <c r="C6" i="6"/>
  <c r="C7" i="6"/>
  <c r="C15" i="6"/>
  <c r="F15" i="6"/>
  <c r="F14" i="6"/>
  <c r="I17" i="9"/>
  <c r="I18" i="9"/>
  <c r="I16" i="9"/>
  <c r="J6" i="9"/>
  <c r="F6" i="9"/>
  <c r="J8" i="9"/>
  <c r="L15" i="9"/>
  <c r="G9" i="9"/>
  <c r="G12" i="9"/>
  <c r="G11" i="9"/>
  <c r="G15" i="6"/>
  <c r="N7" i="10"/>
  <c r="N31" i="10"/>
  <c r="N27" i="10"/>
  <c r="N16" i="10"/>
  <c r="N21" i="10"/>
  <c r="F20" i="6"/>
  <c r="J18" i="9"/>
  <c r="F18" i="9"/>
  <c r="H12" i="9"/>
  <c r="H10" i="9"/>
  <c r="H9" i="9"/>
  <c r="J12" i="9"/>
  <c r="J9" i="9"/>
  <c r="J10" i="9"/>
  <c r="L12" i="9"/>
  <c r="L11" i="9"/>
  <c r="L17" i="9"/>
  <c r="L9" i="9"/>
  <c r="J4" i="9"/>
  <c r="H6" i="9"/>
  <c r="J3" i="9"/>
  <c r="F5" i="9"/>
  <c r="C10" i="9"/>
  <c r="F10" i="9"/>
  <c r="K10" i="9"/>
  <c r="C12" i="9"/>
  <c r="F12" i="9"/>
  <c r="C11" i="9"/>
  <c r="C15" i="9"/>
  <c r="C16" i="9"/>
  <c r="F16" i="9"/>
  <c r="C8" i="6"/>
  <c r="G15" i="9"/>
  <c r="J15" i="9"/>
  <c r="F4" i="9"/>
  <c r="K4" i="9"/>
  <c r="N30" i="10"/>
  <c r="N5" i="10"/>
  <c r="N29" i="10"/>
  <c r="N19" i="10"/>
  <c r="G9" i="6"/>
  <c r="F9" i="6"/>
  <c r="L18" i="9"/>
  <c r="F17" i="9"/>
  <c r="D7" i="6"/>
  <c r="G7" i="6"/>
  <c r="G10" i="6"/>
  <c r="N32" i="10"/>
  <c r="N20" i="10"/>
  <c r="N39" i="10"/>
  <c r="K12" i="9"/>
  <c r="K6" i="9"/>
  <c r="F17" i="6"/>
  <c r="D21" i="6"/>
  <c r="G21" i="6"/>
  <c r="F11" i="9"/>
  <c r="J5" i="9"/>
  <c r="D18" i="6"/>
  <c r="G18" i="6"/>
  <c r="F10" i="6"/>
  <c r="N15" i="10"/>
  <c r="N12" i="10"/>
  <c r="N9" i="10"/>
  <c r="N6" i="10"/>
  <c r="N26" i="10"/>
  <c r="N23" i="10"/>
  <c r="N40" i="10"/>
  <c r="N35" i="10"/>
  <c r="C9" i="9"/>
  <c r="D6" i="6"/>
  <c r="G6" i="6"/>
  <c r="N36" i="10"/>
  <c r="N41" i="10"/>
  <c r="N11" i="10"/>
  <c r="N8" i="10"/>
  <c r="N25" i="10"/>
  <c r="E17" i="10"/>
  <c r="N17" i="10"/>
  <c r="K8" i="9"/>
  <c r="N14" i="10"/>
  <c r="N34" i="10"/>
  <c r="N38" i="10"/>
  <c r="N10" i="10"/>
  <c r="N24" i="10"/>
  <c r="N18" i="10"/>
  <c r="N22" i="10"/>
  <c r="J11" i="9"/>
  <c r="G16" i="9"/>
  <c r="J16" i="9"/>
  <c r="G17" i="9"/>
  <c r="J17" i="9"/>
  <c r="I11" i="9"/>
  <c r="I9" i="9"/>
  <c r="H18" i="9"/>
  <c r="K18" i="9"/>
  <c r="F16" i="6"/>
  <c r="H15" i="9"/>
  <c r="F15" i="9"/>
  <c r="H16" i="9"/>
  <c r="I10" i="9"/>
  <c r="F23" i="9"/>
  <c r="F25" i="9"/>
  <c r="J14" i="9"/>
  <c r="K14" i="9"/>
  <c r="H3" i="9"/>
  <c r="F3" i="9"/>
  <c r="H5" i="9"/>
  <c r="K15" i="9"/>
  <c r="F9" i="9"/>
  <c r="K9" i="9"/>
  <c r="K3" i="9"/>
  <c r="K11" i="9"/>
  <c r="K5" i="9"/>
  <c r="F18" i="6"/>
  <c r="K17" i="9"/>
  <c r="K16" i="9"/>
  <c r="F21" i="6"/>
  <c r="C26" i="6"/>
  <c r="E8" i="6"/>
  <c r="E7" i="6"/>
  <c r="E12" i="6"/>
  <c r="C25" i="6"/>
  <c r="F6" i="6"/>
  <c r="F19" i="6"/>
  <c r="F7" i="6"/>
  <c r="E13" i="6"/>
  <c r="F8" i="6"/>
  <c r="G12" i="6"/>
  <c r="F12" i="6"/>
  <c r="G13" i="6"/>
  <c r="F13" i="6"/>
</calcChain>
</file>

<file path=xl/sharedStrings.xml><?xml version="1.0" encoding="utf-8"?>
<sst xmlns="http://schemas.openxmlformats.org/spreadsheetml/2006/main" count="319" uniqueCount="160">
  <si>
    <t>DEA</t>
  </si>
  <si>
    <t>Secretario de Departamento</t>
  </si>
  <si>
    <t>A1</t>
  </si>
  <si>
    <t>A2</t>
  </si>
  <si>
    <t>B</t>
  </si>
  <si>
    <t>C1</t>
  </si>
  <si>
    <t>C2</t>
  </si>
  <si>
    <t>CUERPO</t>
  </si>
  <si>
    <t>SUELDO</t>
  </si>
  <si>
    <t>TOTAL MES</t>
  </si>
  <si>
    <t>TRIENIOS</t>
  </si>
  <si>
    <t>T.C.</t>
  </si>
  <si>
    <t>NIVEL 29</t>
  </si>
  <si>
    <t>NIVEL 27</t>
  </si>
  <si>
    <t>NIVEL 26</t>
  </si>
  <si>
    <t>MENSUAL</t>
  </si>
  <si>
    <t>RESID. POR TRIENIO</t>
  </si>
  <si>
    <t>PASIVOS</t>
  </si>
  <si>
    <t>MUFACE</t>
  </si>
  <si>
    <t>E</t>
  </si>
  <si>
    <t>65% T.U.</t>
  </si>
  <si>
    <t>65% + 2% T.U.</t>
  </si>
  <si>
    <t>65% + 5% T.U.</t>
  </si>
  <si>
    <t>90% T.U.</t>
  </si>
  <si>
    <t>100% T.U.</t>
  </si>
  <si>
    <t>85% T.U.</t>
  </si>
  <si>
    <t>85% + 2% T.U.</t>
  </si>
  <si>
    <t>85% + 5% T.U.</t>
  </si>
  <si>
    <t>COMPLEMENTO
DESTINO</t>
  </si>
  <si>
    <t>COMPLEMENTO
ESPECÍFICO</t>
  </si>
  <si>
    <t>SUELDO
P. EXTRA</t>
  </si>
  <si>
    <t>P. ADICIONAL</t>
  </si>
  <si>
    <t>TRIENIO
P. EXTRA</t>
  </si>
  <si>
    <t>TOTAL
P. EXTRA</t>
  </si>
  <si>
    <t>TOTAL AÑO</t>
  </si>
  <si>
    <t>TRIENIO</t>
  </si>
  <si>
    <t>QUINQUENIO/
SEXENIO</t>
  </si>
  <si>
    <t>CATEDRÁTICO DE UNIVERSIDAD</t>
  </si>
  <si>
    <t>6 H</t>
  </si>
  <si>
    <t>5 H</t>
  </si>
  <si>
    <t>4 H</t>
  </si>
  <si>
    <t>3 H</t>
  </si>
  <si>
    <t>TITULAR DE UNIVERSIDAD Y</t>
  </si>
  <si>
    <t>CATEDRÁTICO ESC. UNIVERSITARIA</t>
  </si>
  <si>
    <t>TITULAR DE ESCUELA UNIVERSITARIA</t>
  </si>
  <si>
    <t>Horas</t>
  </si>
  <si>
    <t>2 H</t>
  </si>
  <si>
    <t>INDEMNIZACIÓN POR RESIDENCIA</t>
  </si>
  <si>
    <t>GRUPO</t>
  </si>
  <si>
    <t>NORMAL</t>
  </si>
  <si>
    <t>EXTRA</t>
  </si>
  <si>
    <t>IMPORTE</t>
  </si>
  <si>
    <t>CD Director General</t>
  </si>
  <si>
    <t>COEF. REDUCTOR</t>
  </si>
  <si>
    <t>Tiempo completo</t>
  </si>
  <si>
    <t>6 horas</t>
  </si>
  <si>
    <t>5 horas</t>
  </si>
  <si>
    <t>4 horas</t>
  </si>
  <si>
    <t>3 horas</t>
  </si>
  <si>
    <t>2 horas</t>
  </si>
  <si>
    <t>Colaborador (DEA)</t>
  </si>
  <si>
    <t>Categoría</t>
  </si>
  <si>
    <t>Dedicación</t>
  </si>
  <si>
    <t>Sueldo</t>
  </si>
  <si>
    <t>Complemento
Doctorado</t>
  </si>
  <si>
    <t>Total Mes</t>
  </si>
  <si>
    <t>Paga Extra</t>
  </si>
  <si>
    <t>Coeficiente
reductor 2020</t>
  </si>
  <si>
    <t>Profesor Ayudante</t>
  </si>
  <si>
    <t>Profesor Ayudante (DEA)</t>
  </si>
  <si>
    <t>Profesor Ayudante (Doctor)</t>
  </si>
  <si>
    <t>Profesor Ayudante Doctor</t>
  </si>
  <si>
    <t>Profesor Colaborador</t>
  </si>
  <si>
    <t>Profesor Colaborador (Doctor)</t>
  </si>
  <si>
    <t>Profesor Visitante</t>
  </si>
  <si>
    <t>Profesor Visitante Doctor</t>
  </si>
  <si>
    <t>Profesor Interino</t>
  </si>
  <si>
    <t>Profesor Asociado/Interino</t>
  </si>
  <si>
    <t>Profesor Asociado Ciencias de la Salud</t>
  </si>
  <si>
    <t>Doctor</t>
  </si>
  <si>
    <t>Trienios asociados e interinos a tiempo parcial</t>
  </si>
  <si>
    <t>Importe trienio</t>
  </si>
  <si>
    <t>Importe trienio P. Extra</t>
  </si>
  <si>
    <t>Complemento por Doctorado (Profesores Asociados)</t>
  </si>
  <si>
    <t>Complemento por Cargo Académico</t>
  </si>
  <si>
    <t>Cargo</t>
  </si>
  <si>
    <t>Cuantía mensual</t>
  </si>
  <si>
    <t>Cuantía Paga adicional</t>
  </si>
  <si>
    <t>Rector de Universidad</t>
  </si>
  <si>
    <t>Vicerrector y Secretario General de Universidad</t>
  </si>
  <si>
    <t>Decano y Director de Facultad, Escuela Técnica Superior, Escuela Universitaria y Colegio Universitario</t>
  </si>
  <si>
    <t>Vicedecano, Subdirector y Secretario de Facultad, Escuela Técnica Superior, Escuela Universitaria y Colegio Universitario</t>
  </si>
  <si>
    <t>Director de Departamento Universitario</t>
  </si>
  <si>
    <t>Director de Instituto Universitario y de Escuela de Estomatología</t>
  </si>
  <si>
    <t>Coordinador del Curso de Orientación Universitaria</t>
  </si>
  <si>
    <t>3+3</t>
  </si>
  <si>
    <t>INDEMN. RESIDENCIA</t>
  </si>
  <si>
    <t>CEUTA Y MELILLA</t>
  </si>
  <si>
    <t>Complemento autonómico (anual)</t>
  </si>
  <si>
    <t>Grupo</t>
  </si>
  <si>
    <t>Ceuta y Melilla</t>
  </si>
  <si>
    <t>Indemnizacion residencia</t>
  </si>
  <si>
    <t>Importe</t>
  </si>
  <si>
    <t>GRUPO A1</t>
  </si>
  <si>
    <t>Contratado Doctor</t>
  </si>
  <si>
    <t>Colaborador</t>
  </si>
  <si>
    <t>Quinquenio/Sexenio</t>
  </si>
  <si>
    <t>Complemento Autonómico (anual)</t>
  </si>
  <si>
    <t>H.</t>
  </si>
  <si>
    <t>C. DESTINO</t>
  </si>
  <si>
    <t>C. ESPECÍFICO</t>
  </si>
  <si>
    <t>PRODUCTIVIDAD</t>
  </si>
  <si>
    <t>LC.</t>
  </si>
  <si>
    <t>UNIV.</t>
  </si>
  <si>
    <t>SAS</t>
  </si>
  <si>
    <t>TOTAL</t>
  </si>
  <si>
    <t>UNIV</t>
  </si>
  <si>
    <t>CATEDRÁTICO UNIVERSIDAD</t>
  </si>
  <si>
    <t>Jefe Departamento</t>
  </si>
  <si>
    <t>T.C</t>
  </si>
  <si>
    <t>T.P</t>
  </si>
  <si>
    <t>Jefe Servicio</t>
  </si>
  <si>
    <t>Jefe Sección</t>
  </si>
  <si>
    <t>Facultativo Especialista</t>
  </si>
  <si>
    <t>TITULAR DE UNIVERSIDAD - CEU - PROFESOR CONTRATADO DOCTOR</t>
  </si>
  <si>
    <t>Enfermero/a Jefe Bloque</t>
  </si>
  <si>
    <t>Enfermero Hospital</t>
  </si>
  <si>
    <t>TITULAR ESCUELA UNIVERSITARIA</t>
  </si>
  <si>
    <t>TITULAR ESCUELA UNIVERSITARIA - ATS - DUE</t>
  </si>
  <si>
    <t>COMPLEMENTO DE CARRERA PROFESIONAL (€/mes). PERSONAL CON PLAZA VINCULADA</t>
  </si>
  <si>
    <t>GRUPO PROFESIONAL</t>
  </si>
  <si>
    <t>N_I</t>
  </si>
  <si>
    <t>N_II</t>
  </si>
  <si>
    <t>N_III</t>
  </si>
  <si>
    <t>N_IV</t>
  </si>
  <si>
    <t>N_V</t>
  </si>
  <si>
    <t>Licenciado Sanitario Especialista</t>
  </si>
  <si>
    <t>Licenciado Sanitario</t>
  </si>
  <si>
    <t>Diplomado Sanitario</t>
  </si>
  <si>
    <t>Profesor Contratado Doctor / Profesor Permanente Laboral e Interino</t>
  </si>
  <si>
    <t>Residencia Tiempos Parciales</t>
  </si>
  <si>
    <t>Residencia Trienios Tiempos parciales</t>
  </si>
  <si>
    <t>Complemento Singular
Categoría</t>
  </si>
  <si>
    <t>MES</t>
  </si>
  <si>
    <t>Nº Sexenios</t>
  </si>
  <si>
    <t>Acumulado</t>
  </si>
  <si>
    <t>1º Sexenio</t>
  </si>
  <si>
    <t>2º Sexenio</t>
  </si>
  <si>
    <t>3º Sexenio</t>
  </si>
  <si>
    <t>4º Sexenio</t>
  </si>
  <si>
    <t>5º Sexenio</t>
  </si>
  <si>
    <t>Sexenios Personal Docente Enseñanzas Medias</t>
  </si>
  <si>
    <t>RETRIBUCIONES PROFESORADO CON PLAZAS VINCULADAS EN INSTITUCIONES SANITARIAS 2024
Real Decreto-ley 4/2024, de 26 de junio</t>
  </si>
  <si>
    <t>60% T.U.</t>
  </si>
  <si>
    <t>30% T.U.</t>
  </si>
  <si>
    <t>25% T.U.</t>
  </si>
  <si>
    <t>20% T.U.</t>
  </si>
  <si>
    <t>15% T.U.</t>
  </si>
  <si>
    <t>10% T.U.</t>
  </si>
  <si>
    <t>Enfermero 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</si>
</sst>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Verdana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134">
    <xf numFmtId="0" fontId="0" fillId="0" borderId="0" xfId="0"/>
    <xf numFmtId="0" fontId="0" fillId="0" borderId="0" xfId="0" applyProtection="1">
      <protection hidden="1"/>
    </xf>
    <xf numFmtId="0" fontId="4" fillId="0" borderId="3" xfId="0" applyFont="1" applyBorder="1" applyProtection="1">
      <protection hidden="1"/>
    </xf>
    <xf numFmtId="0" fontId="3" fillId="0" borderId="3" xfId="0" applyFont="1" applyBorder="1" applyProtection="1">
      <protection hidden="1"/>
    </xf>
    <xf numFmtId="2" fontId="3" fillId="0" borderId="3" xfId="0" applyNumberFormat="1" applyFont="1" applyBorder="1" applyProtection="1">
      <protection hidden="1"/>
    </xf>
    <xf numFmtId="2" fontId="3" fillId="0" borderId="3" xfId="0" applyNumberFormat="1" applyFont="1" applyBorder="1" applyAlignment="1" applyProtection="1">
      <alignment horizontal="center"/>
      <protection hidden="1"/>
    </xf>
    <xf numFmtId="2" fontId="4" fillId="0" borderId="3" xfId="0" applyNumberFormat="1" applyFont="1" applyBorder="1" applyProtection="1">
      <protection hidden="1"/>
    </xf>
    <xf numFmtId="0" fontId="4" fillId="0" borderId="3" xfId="0" applyFont="1" applyBorder="1" applyAlignment="1" applyProtection="1">
      <alignment horizontal="center"/>
      <protection hidden="1"/>
    </xf>
    <xf numFmtId="164" fontId="4" fillId="0" borderId="3" xfId="0" applyNumberFormat="1" applyFont="1" applyBorder="1" applyProtection="1">
      <protection hidden="1"/>
    </xf>
    <xf numFmtId="2" fontId="4" fillId="0" borderId="3" xfId="0" applyNumberFormat="1" applyFont="1" applyBorder="1" applyAlignment="1" applyProtection="1">
      <alignment horizontal="center"/>
      <protection hidden="1"/>
    </xf>
    <xf numFmtId="0" fontId="1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4" fillId="0" borderId="0" xfId="0" applyFont="1" applyProtection="1">
      <protection hidden="1"/>
    </xf>
    <xf numFmtId="4" fontId="4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" xfId="0" applyBorder="1" applyAlignment="1" applyProtection="1">
      <alignment horizontal="right"/>
      <protection hidden="1"/>
    </xf>
    <xf numFmtId="2" fontId="0" fillId="0" borderId="3" xfId="0" applyNumberFormat="1" applyBorder="1" applyAlignment="1" applyProtection="1">
      <alignment horizontal="right"/>
      <protection hidden="1"/>
    </xf>
    <xf numFmtId="0" fontId="0" fillId="0" borderId="4" xfId="0" applyBorder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Protection="1"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right"/>
      <protection hidden="1"/>
    </xf>
    <xf numFmtId="4" fontId="4" fillId="0" borderId="3" xfId="1" applyNumberFormat="1" applyFont="1" applyBorder="1" applyAlignment="1" applyProtection="1">
      <alignment horizontal="right" vertical="center"/>
      <protection hidden="1"/>
    </xf>
    <xf numFmtId="4" fontId="7" fillId="0" borderId="3" xfId="0" applyNumberFormat="1" applyFont="1" applyBorder="1" applyAlignment="1" applyProtection="1">
      <alignment horizontal="right"/>
      <protection hidden="1"/>
    </xf>
    <xf numFmtId="0" fontId="7" fillId="0" borderId="3" xfId="0" applyFont="1" applyBorder="1" applyAlignment="1" applyProtection="1">
      <alignment horizontal="right"/>
      <protection hidden="1"/>
    </xf>
    <xf numFmtId="2" fontId="7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3" xfId="1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1" xfId="1" applyFont="1" applyBorder="1" applyAlignment="1" applyProtection="1">
      <alignment horizontal="center" vertical="center"/>
      <protection hidden="1"/>
    </xf>
    <xf numFmtId="0" fontId="3" fillId="0" borderId="4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left" vertical="center"/>
      <protection hidden="1"/>
    </xf>
    <xf numFmtId="0" fontId="4" fillId="0" borderId="4" xfId="1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4" fontId="4" fillId="0" borderId="3" xfId="0" applyNumberFormat="1" applyFont="1" applyBorder="1" applyProtection="1"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11" fillId="0" borderId="0" xfId="2" applyAlignment="1">
      <alignment horizontal="left" vertical="center" wrapText="1"/>
    </xf>
    <xf numFmtId="0" fontId="11" fillId="0" borderId="0" xfId="2" applyAlignment="1">
      <alignment horizontal="left" vertical="center"/>
    </xf>
    <xf numFmtId="0" fontId="9" fillId="0" borderId="13" xfId="2" applyFont="1" applyBorder="1" applyAlignment="1">
      <alignment horizontal="right" vertical="top" wrapText="1" indent="1"/>
    </xf>
    <xf numFmtId="0" fontId="9" fillId="0" borderId="13" xfId="2" applyFont="1" applyBorder="1" applyAlignment="1">
      <alignment horizontal="center" vertical="top" wrapText="1"/>
    </xf>
    <xf numFmtId="0" fontId="11" fillId="0" borderId="0" xfId="2" applyAlignment="1">
      <alignment horizontal="left" wrapText="1"/>
    </xf>
    <xf numFmtId="0" fontId="11" fillId="0" borderId="0" xfId="2" applyAlignment="1">
      <alignment horizontal="left" vertical="top"/>
    </xf>
    <xf numFmtId="0" fontId="9" fillId="0" borderId="13" xfId="2" applyFont="1" applyBorder="1" applyAlignment="1">
      <alignment horizontal="right" vertical="top" wrapText="1"/>
    </xf>
    <xf numFmtId="0" fontId="7" fillId="0" borderId="13" xfId="2" applyFont="1" applyBorder="1" applyAlignment="1">
      <alignment horizontal="right" vertical="top" wrapText="1" indent="1"/>
    </xf>
    <xf numFmtId="4" fontId="11" fillId="0" borderId="0" xfId="2" applyNumberFormat="1" applyAlignment="1">
      <alignment horizontal="left" vertical="top"/>
    </xf>
    <xf numFmtId="0" fontId="9" fillId="0" borderId="14" xfId="2" applyFont="1" applyBorder="1" applyAlignment="1">
      <alignment horizontal="left" vertical="top" wrapText="1"/>
    </xf>
    <xf numFmtId="0" fontId="9" fillId="0" borderId="14" xfId="2" applyFont="1" applyBorder="1" applyAlignment="1">
      <alignment horizontal="left" vertical="top" wrapText="1" indent="1"/>
    </xf>
    <xf numFmtId="0" fontId="9" fillId="0" borderId="14" xfId="2" applyFont="1" applyBorder="1" applyAlignment="1">
      <alignment horizontal="center" vertical="top" wrapText="1"/>
    </xf>
    <xf numFmtId="0" fontId="9" fillId="0" borderId="14" xfId="2" applyFont="1" applyBorder="1" applyAlignment="1">
      <alignment horizontal="left" vertical="top" wrapText="1" indent="2"/>
    </xf>
    <xf numFmtId="0" fontId="7" fillId="0" borderId="13" xfId="2" applyFont="1" applyBorder="1" applyAlignment="1">
      <alignment horizontal="left" vertical="top" wrapText="1"/>
    </xf>
    <xf numFmtId="0" fontId="7" fillId="0" borderId="13" xfId="2" applyFont="1" applyBorder="1" applyAlignment="1">
      <alignment horizontal="center" vertical="top" wrapText="1"/>
    </xf>
    <xf numFmtId="2" fontId="0" fillId="0" borderId="0" xfId="0" applyNumberForma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2" fontId="12" fillId="0" borderId="0" xfId="0" applyNumberFormat="1" applyFont="1" applyProtection="1">
      <protection hidden="1"/>
    </xf>
    <xf numFmtId="0" fontId="9" fillId="0" borderId="13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wrapText="1"/>
    </xf>
    <xf numFmtId="1" fontId="9" fillId="0" borderId="13" xfId="2" applyNumberFormat="1" applyFont="1" applyBorder="1" applyAlignment="1">
      <alignment horizontal="left" vertical="top" indent="1" shrinkToFit="1"/>
    </xf>
    <xf numFmtId="4" fontId="7" fillId="0" borderId="13" xfId="2" applyNumberFormat="1" applyFont="1" applyBorder="1" applyAlignment="1">
      <alignment horizontal="right" vertical="top" shrinkToFit="1"/>
    </xf>
    <xf numFmtId="2" fontId="7" fillId="0" borderId="13" xfId="2" applyNumberFormat="1" applyFont="1" applyBorder="1" applyAlignment="1">
      <alignment horizontal="right" vertical="top" shrinkToFit="1"/>
    </xf>
    <xf numFmtId="0" fontId="7" fillId="0" borderId="14" xfId="2" applyFont="1" applyBorder="1" applyAlignment="1">
      <alignment horizontal="left" wrapText="1"/>
    </xf>
    <xf numFmtId="0" fontId="10" fillId="3" borderId="3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4" fontId="5" fillId="0" borderId="3" xfId="1" applyNumberFormat="1" applyFont="1" applyBorder="1" applyAlignment="1">
      <alignment horizontal="right" vertical="center"/>
    </xf>
    <xf numFmtId="4" fontId="4" fillId="0" borderId="3" xfId="0" applyNumberFormat="1" applyFont="1" applyBorder="1"/>
    <xf numFmtId="4" fontId="7" fillId="0" borderId="3" xfId="0" applyNumberFormat="1" applyFont="1" applyBorder="1" applyProtection="1">
      <protection hidden="1"/>
    </xf>
    <xf numFmtId="2" fontId="7" fillId="0" borderId="3" xfId="0" applyNumberFormat="1" applyFont="1" applyBorder="1" applyAlignment="1" applyProtection="1">
      <alignment horizontal="right"/>
      <protection hidden="1"/>
    </xf>
    <xf numFmtId="4" fontId="7" fillId="0" borderId="4" xfId="0" applyNumberFormat="1" applyFont="1" applyBorder="1" applyProtection="1">
      <protection hidden="1"/>
    </xf>
    <xf numFmtId="2" fontId="7" fillId="0" borderId="13" xfId="2" applyNumberFormat="1" applyFont="1" applyBorder="1" applyAlignment="1">
      <alignment horizontal="right" vertical="center" shrinkToFit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4" fillId="0" borderId="3" xfId="1" applyFont="1" applyBorder="1" applyAlignment="1" applyProtection="1">
      <alignment horizontal="left" vertic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2" fontId="3" fillId="0" borderId="4" xfId="0" applyNumberFormat="1" applyFont="1" applyBorder="1" applyAlignment="1" applyProtection="1">
      <alignment horizontal="center"/>
      <protection hidden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7" fillId="0" borderId="3" xfId="0" applyNumberFormat="1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2" fillId="0" borderId="2" xfId="0" applyFont="1" applyBorder="1" applyAlignment="1">
      <alignment horizontal="center"/>
    </xf>
    <xf numFmtId="0" fontId="4" fillId="0" borderId="1" xfId="1" applyFont="1" applyBorder="1" applyAlignment="1" applyProtection="1">
      <alignment horizontal="left" vertical="center"/>
      <protection hidden="1"/>
    </xf>
    <xf numFmtId="0" fontId="4" fillId="0" borderId="4" xfId="1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3" xfId="0" applyBorder="1" applyAlignment="1" applyProtection="1">
      <alignment horizontal="center"/>
      <protection hidden="1"/>
    </xf>
    <xf numFmtId="0" fontId="7" fillId="0" borderId="12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9" fillId="2" borderId="15" xfId="2" applyFont="1" applyFill="1" applyBorder="1" applyAlignment="1">
      <alignment horizontal="center" vertical="top" wrapText="1"/>
    </xf>
    <xf numFmtId="0" fontId="9" fillId="2" borderId="0" xfId="2" applyFont="1" applyFill="1" applyAlignment="1">
      <alignment horizontal="center" vertical="top" wrapText="1"/>
    </xf>
    <xf numFmtId="0" fontId="9" fillId="2" borderId="16" xfId="2" applyFont="1" applyFill="1" applyBorder="1" applyAlignment="1">
      <alignment horizontal="center" vertical="top" wrapText="1"/>
    </xf>
    <xf numFmtId="0" fontId="9" fillId="0" borderId="9" xfId="2" applyFont="1" applyBorder="1" applyAlignment="1">
      <alignment horizontal="left"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11" xfId="2" applyFont="1" applyBorder="1" applyAlignment="1">
      <alignment horizontal="left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left" vertical="top" wrapText="1"/>
    </xf>
    <xf numFmtId="0" fontId="7" fillId="0" borderId="14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center" vertical="top" wrapText="1"/>
    </xf>
    <xf numFmtId="0" fontId="9" fillId="0" borderId="10" xfId="2" applyFont="1" applyBorder="1" applyAlignment="1">
      <alignment horizontal="center" vertical="top" wrapText="1"/>
    </xf>
    <xf numFmtId="0" fontId="9" fillId="0" borderId="11" xfId="2" applyFont="1" applyBorder="1" applyAlignment="1">
      <alignment horizontal="center" vertical="top" wrapText="1"/>
    </xf>
    <xf numFmtId="0" fontId="9" fillId="0" borderId="9" xfId="2" applyFont="1" applyBorder="1" applyAlignment="1">
      <alignment horizontal="left" vertical="top" wrapText="1" indent="7"/>
    </xf>
    <xf numFmtId="0" fontId="9" fillId="0" borderId="10" xfId="2" applyFont="1" applyBorder="1" applyAlignment="1">
      <alignment horizontal="left" vertical="top" wrapText="1" indent="7"/>
    </xf>
    <xf numFmtId="0" fontId="9" fillId="0" borderId="11" xfId="2" applyFont="1" applyBorder="1" applyAlignment="1">
      <alignment horizontal="left" vertical="top" wrapText="1" indent="7"/>
    </xf>
    <xf numFmtId="0" fontId="9" fillId="0" borderId="9" xfId="2" applyFont="1" applyBorder="1" applyAlignment="1">
      <alignment horizontal="left" vertical="top" wrapText="1" indent="4"/>
    </xf>
    <xf numFmtId="0" fontId="9" fillId="0" borderId="10" xfId="2" applyFont="1" applyBorder="1" applyAlignment="1">
      <alignment horizontal="left" vertical="top" wrapText="1" indent="4"/>
    </xf>
    <xf numFmtId="0" fontId="9" fillId="0" borderId="11" xfId="2" applyFont="1" applyBorder="1" applyAlignment="1">
      <alignment horizontal="left" vertical="top" wrapText="1" indent="4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workbookViewId="0">
      <selection activeCell="M8" sqref="M8"/>
    </sheetView>
  </sheetViews>
  <sheetFormatPr baseColWidth="10" defaultRowHeight="15" x14ac:dyDescent="0.25"/>
  <cols>
    <col min="1" max="1" width="38.7109375" style="1" bestFit="1" customWidth="1"/>
    <col min="2" max="2" width="6.42578125" style="1" bestFit="1" customWidth="1"/>
    <col min="3" max="3" width="10.140625" style="1" bestFit="1" customWidth="1"/>
    <col min="4" max="4" width="16.140625" style="1" customWidth="1"/>
    <col min="5" max="5" width="17.140625" style="1" customWidth="1"/>
    <col min="6" max="7" width="11.5703125" style="1" bestFit="1" customWidth="1"/>
    <col min="8" max="8" width="14.7109375" style="1" customWidth="1"/>
    <col min="9" max="10" width="11.5703125" style="1" bestFit="1" customWidth="1"/>
    <col min="11" max="11" width="17.140625" style="1" customWidth="1"/>
    <col min="12" max="12" width="13.85546875" style="1" customWidth="1"/>
    <col min="13" max="13" width="16.5703125" style="1" customWidth="1"/>
    <col min="14" max="14" width="6.28515625" style="1" customWidth="1"/>
    <col min="15" max="16384" width="11.42578125" style="1"/>
  </cols>
  <sheetData>
    <row r="1" spans="1:13" ht="22.5" x14ac:dyDescent="0.25">
      <c r="A1" s="39" t="s">
        <v>7</v>
      </c>
      <c r="B1" s="39" t="s">
        <v>45</v>
      </c>
      <c r="C1" s="39" t="s">
        <v>8</v>
      </c>
      <c r="D1" s="40" t="s">
        <v>28</v>
      </c>
      <c r="E1" s="40" t="s">
        <v>29</v>
      </c>
      <c r="F1" s="39" t="s">
        <v>9</v>
      </c>
      <c r="G1" s="40" t="s">
        <v>30</v>
      </c>
      <c r="H1" s="40" t="s">
        <v>31</v>
      </c>
      <c r="I1" s="40" t="s">
        <v>32</v>
      </c>
      <c r="J1" s="40" t="s">
        <v>33</v>
      </c>
      <c r="K1" s="40" t="s">
        <v>34</v>
      </c>
      <c r="L1" s="40" t="s">
        <v>35</v>
      </c>
      <c r="M1" s="40" t="s">
        <v>36</v>
      </c>
    </row>
    <row r="2" spans="1:13" x14ac:dyDescent="0.25">
      <c r="A2" s="28" t="s">
        <v>37</v>
      </c>
      <c r="B2" s="2" t="s">
        <v>11</v>
      </c>
      <c r="C2" s="38">
        <v>1326.9</v>
      </c>
      <c r="D2" s="38">
        <v>1039.6099999999999</v>
      </c>
      <c r="E2" s="38">
        <f>1149.15*102/100</f>
        <v>1172.133</v>
      </c>
      <c r="F2" s="38">
        <f>C2+D2+E2</f>
        <v>3538.643</v>
      </c>
      <c r="G2" s="38">
        <f>818.82</f>
        <v>818.82</v>
      </c>
      <c r="H2" s="38">
        <f>E2</f>
        <v>1172.133</v>
      </c>
      <c r="I2" s="38">
        <f>31.53</f>
        <v>31.53</v>
      </c>
      <c r="J2" s="38">
        <f>G2+D2</f>
        <v>1858.4299999999998</v>
      </c>
      <c r="K2" s="38">
        <f>((F2*12)+(J2*2)+(H2*2))</f>
        <v>48524.842000000004</v>
      </c>
      <c r="L2" s="38">
        <f>50.07*102/100</f>
        <v>51.071400000000004</v>
      </c>
      <c r="M2" s="38">
        <f>174.29*102/100</f>
        <v>177.77579999999998</v>
      </c>
    </row>
    <row r="3" spans="1:13" x14ac:dyDescent="0.25">
      <c r="A3" s="28" t="s">
        <v>12</v>
      </c>
      <c r="B3" s="2" t="s">
        <v>38</v>
      </c>
      <c r="C3" s="38">
        <f>C2*D23</f>
        <v>574.81308000000001</v>
      </c>
      <c r="D3" s="38">
        <f>D2*D23</f>
        <v>450.35905199999991</v>
      </c>
      <c r="E3" s="38">
        <f>E2*D23</f>
        <v>507.76801560000001</v>
      </c>
      <c r="F3" s="38">
        <f>C3+D3+H3</f>
        <v>1532.9401475999998</v>
      </c>
      <c r="G3" s="38">
        <f>G2*D23</f>
        <v>354.71282400000001</v>
      </c>
      <c r="H3" s="38">
        <f>H2*D23</f>
        <v>507.76801560000001</v>
      </c>
      <c r="I3" s="38">
        <f>I2*D23</f>
        <v>13.658795999999999</v>
      </c>
      <c r="J3" s="38">
        <f t="shared" ref="J3:J6" si="0">G3+D3</f>
        <v>805.07187599999997</v>
      </c>
      <c r="K3" s="38">
        <f t="shared" ref="K3:K6" si="1">((F3*12)+(J3*2)+(H3*2))</f>
        <v>21020.961554399997</v>
      </c>
      <c r="L3" s="38">
        <f>L2*D23</f>
        <v>22.124130480000002</v>
      </c>
      <c r="M3" s="13"/>
    </row>
    <row r="4" spans="1:13" x14ac:dyDescent="0.25">
      <c r="A4" s="12"/>
      <c r="B4" s="2" t="s">
        <v>39</v>
      </c>
      <c r="C4" s="38">
        <f>C2*D24</f>
        <v>479.01089999999999</v>
      </c>
      <c r="D4" s="38">
        <f>D2*D24</f>
        <v>375.29920999999996</v>
      </c>
      <c r="E4" s="38">
        <f>E2*D24</f>
        <v>423.14001300000001</v>
      </c>
      <c r="F4" s="38">
        <f t="shared" ref="F4:F6" si="2">C4+D4+E4</f>
        <v>1277.4501229999998</v>
      </c>
      <c r="G4" s="38">
        <f>G2*D24</f>
        <v>295.59402</v>
      </c>
      <c r="H4" s="38">
        <f>H2*D24</f>
        <v>423.14001300000001</v>
      </c>
      <c r="I4" s="38">
        <f>I2*D24</f>
        <v>11.38233</v>
      </c>
      <c r="J4" s="38">
        <f t="shared" si="0"/>
        <v>670.8932299999999</v>
      </c>
      <c r="K4" s="38">
        <f t="shared" si="1"/>
        <v>17517.467961999999</v>
      </c>
      <c r="L4" s="38">
        <f>L2*D24</f>
        <v>18.436775400000002</v>
      </c>
      <c r="M4" s="13"/>
    </row>
    <row r="5" spans="1:13" x14ac:dyDescent="0.25">
      <c r="A5" s="12"/>
      <c r="B5" s="2" t="s">
        <v>40</v>
      </c>
      <c r="C5" s="38">
        <f>C2*D25</f>
        <v>383.20872000000003</v>
      </c>
      <c r="D5" s="38">
        <f>D2*D25</f>
        <v>300.23936799999996</v>
      </c>
      <c r="E5" s="38">
        <f>E2*D25</f>
        <v>338.51201040000001</v>
      </c>
      <c r="F5" s="38">
        <f t="shared" si="2"/>
        <v>1021.9600984</v>
      </c>
      <c r="G5" s="38">
        <f>G2*D25</f>
        <v>236.47521600000002</v>
      </c>
      <c r="H5" s="38">
        <f>H2*D25</f>
        <v>338.51201040000001</v>
      </c>
      <c r="I5" s="38">
        <f>I2*D25</f>
        <v>9.1058640000000004</v>
      </c>
      <c r="J5" s="38">
        <f t="shared" si="0"/>
        <v>536.71458399999995</v>
      </c>
      <c r="K5" s="38">
        <f t="shared" si="1"/>
        <v>14013.974369600001</v>
      </c>
      <c r="L5" s="38">
        <f>L2*D25</f>
        <v>14.74942032</v>
      </c>
      <c r="M5" s="13"/>
    </row>
    <row r="6" spans="1:13" x14ac:dyDescent="0.25">
      <c r="A6" s="12"/>
      <c r="B6" s="2" t="s">
        <v>41</v>
      </c>
      <c r="C6" s="38">
        <f>C2*D26</f>
        <v>287.40654000000001</v>
      </c>
      <c r="D6" s="38">
        <f>D2*D26</f>
        <v>225.17952599999995</v>
      </c>
      <c r="E6" s="38">
        <f>E2*D26</f>
        <v>253.88400780000001</v>
      </c>
      <c r="F6" s="38">
        <f t="shared" si="2"/>
        <v>766.47007379999991</v>
      </c>
      <c r="G6" s="38">
        <f>G2*D26</f>
        <v>177.35641200000001</v>
      </c>
      <c r="H6" s="38">
        <f>H2*D26</f>
        <v>253.88400780000001</v>
      </c>
      <c r="I6" s="38">
        <f>I2*D26</f>
        <v>6.8293979999999994</v>
      </c>
      <c r="J6" s="38">
        <f t="shared" si="0"/>
        <v>402.53593799999999</v>
      </c>
      <c r="K6" s="38">
        <f t="shared" si="1"/>
        <v>10510.480777199999</v>
      </c>
      <c r="L6" s="38">
        <f>L2*D26</f>
        <v>11.062065240000001</v>
      </c>
      <c r="M6" s="13"/>
    </row>
    <row r="7" spans="1:1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x14ac:dyDescent="0.25">
      <c r="A8" s="28" t="s">
        <v>42</v>
      </c>
      <c r="B8" s="2" t="s">
        <v>11</v>
      </c>
      <c r="C8" s="38">
        <f>C2</f>
        <v>1326.9</v>
      </c>
      <c r="D8" s="38">
        <v>952.17</v>
      </c>
      <c r="E8" s="38">
        <f>536.11*102/100</f>
        <v>546.83220000000006</v>
      </c>
      <c r="F8" s="38">
        <f>C8+D8+E8</f>
        <v>2825.9022000000004</v>
      </c>
      <c r="G8" s="38">
        <f>G2</f>
        <v>818.82</v>
      </c>
      <c r="H8" s="38">
        <f>E8</f>
        <v>546.83220000000006</v>
      </c>
      <c r="I8" s="38">
        <f>I2</f>
        <v>31.53</v>
      </c>
      <c r="J8" s="38">
        <f>G8+D8</f>
        <v>1770.99</v>
      </c>
      <c r="K8" s="38">
        <f>((F8*12)+(J8*2)+(H8*2))</f>
        <v>38546.47080000001</v>
      </c>
      <c r="L8" s="38">
        <f>L2</f>
        <v>51.071400000000004</v>
      </c>
      <c r="M8" s="38">
        <f>141.15*102/100</f>
        <v>143.97300000000001</v>
      </c>
    </row>
    <row r="9" spans="1:13" x14ac:dyDescent="0.25">
      <c r="A9" s="28" t="s">
        <v>43</v>
      </c>
      <c r="B9" s="2" t="s">
        <v>38</v>
      </c>
      <c r="C9" s="38">
        <f>C8*0.4332</f>
        <v>574.81308000000001</v>
      </c>
      <c r="D9" s="38">
        <f>D8*D23</f>
        <v>412.48004399999996</v>
      </c>
      <c r="E9" s="38">
        <f>E8*D23</f>
        <v>236.88770904</v>
      </c>
      <c r="F9" s="38">
        <f>C9+D9+H9</f>
        <v>1224.1808330399999</v>
      </c>
      <c r="G9" s="38">
        <f>G8*D23</f>
        <v>354.71282400000001</v>
      </c>
      <c r="H9" s="38">
        <f>H8*D23</f>
        <v>236.88770904</v>
      </c>
      <c r="I9" s="38">
        <f>I8*D23</f>
        <v>13.658795999999999</v>
      </c>
      <c r="J9" s="38">
        <f t="shared" ref="J9:J12" si="3">G9+D9</f>
        <v>767.19286799999998</v>
      </c>
      <c r="K9" s="38">
        <f t="shared" ref="K9:K12" si="4">((F9*12)+(J9*2)+(H9*2))</f>
        <v>16698.33115056</v>
      </c>
      <c r="L9" s="38">
        <f>L8*D23</f>
        <v>22.124130480000002</v>
      </c>
      <c r="M9" s="13"/>
    </row>
    <row r="10" spans="1:13" x14ac:dyDescent="0.25">
      <c r="A10" s="28" t="s">
        <v>13</v>
      </c>
      <c r="B10" s="2" t="s">
        <v>39</v>
      </c>
      <c r="C10" s="38">
        <f>C8*D24</f>
        <v>479.01089999999999</v>
      </c>
      <c r="D10" s="38">
        <f>D8*D24</f>
        <v>343.73336999999998</v>
      </c>
      <c r="E10" s="38">
        <f>E8*D24</f>
        <v>197.4064242</v>
      </c>
      <c r="F10" s="38">
        <f t="shared" ref="F10:F12" si="5">C10+D10+E10</f>
        <v>1020.1506941999999</v>
      </c>
      <c r="G10" s="38">
        <f>G8*D24</f>
        <v>295.59402</v>
      </c>
      <c r="H10" s="38">
        <f>H8*D24</f>
        <v>197.4064242</v>
      </c>
      <c r="I10" s="38">
        <f>I8*D24</f>
        <v>11.38233</v>
      </c>
      <c r="J10" s="38">
        <f t="shared" si="3"/>
        <v>639.32738999999992</v>
      </c>
      <c r="K10" s="38">
        <f t="shared" si="4"/>
        <v>13915.275958800001</v>
      </c>
      <c r="L10" s="38">
        <f>L8*D24</f>
        <v>18.436775400000002</v>
      </c>
      <c r="M10" s="13"/>
    </row>
    <row r="11" spans="1:13" x14ac:dyDescent="0.25">
      <c r="A11" s="12"/>
      <c r="B11" s="2" t="s">
        <v>40</v>
      </c>
      <c r="C11" s="38">
        <f>C8*D25</f>
        <v>383.20872000000003</v>
      </c>
      <c r="D11" s="38">
        <f>D8*D25</f>
        <v>274.98669599999999</v>
      </c>
      <c r="E11" s="38">
        <f>E8*D25</f>
        <v>157.92513936000003</v>
      </c>
      <c r="F11" s="38">
        <f t="shared" si="5"/>
        <v>816.12055536000003</v>
      </c>
      <c r="G11" s="38">
        <f>G8*D25</f>
        <v>236.47521600000002</v>
      </c>
      <c r="H11" s="38">
        <f>H8*D25</f>
        <v>157.92513936000003</v>
      </c>
      <c r="I11" s="38">
        <f>I8*D25</f>
        <v>9.1058640000000004</v>
      </c>
      <c r="J11" s="38">
        <f t="shared" si="3"/>
        <v>511.46191199999998</v>
      </c>
      <c r="K11" s="38">
        <f t="shared" si="4"/>
        <v>11132.220767039998</v>
      </c>
      <c r="L11" s="38">
        <f>L8*D25</f>
        <v>14.74942032</v>
      </c>
      <c r="M11" s="13"/>
    </row>
    <row r="12" spans="1:13" x14ac:dyDescent="0.25">
      <c r="A12" s="12"/>
      <c r="B12" s="2" t="s">
        <v>41</v>
      </c>
      <c r="C12" s="38">
        <f>C8*D26</f>
        <v>287.40654000000001</v>
      </c>
      <c r="D12" s="38">
        <f>D8*D26</f>
        <v>206.24002199999998</v>
      </c>
      <c r="E12" s="38">
        <f>E8*D26</f>
        <v>118.44385452</v>
      </c>
      <c r="F12" s="38">
        <f t="shared" si="5"/>
        <v>612.09041651999996</v>
      </c>
      <c r="G12" s="38">
        <f>G8*D26</f>
        <v>177.35641200000001</v>
      </c>
      <c r="H12" s="38">
        <f>H8*D26</f>
        <v>118.44385452</v>
      </c>
      <c r="I12" s="38">
        <f>I8*D26</f>
        <v>6.8293979999999994</v>
      </c>
      <c r="J12" s="38">
        <f t="shared" si="3"/>
        <v>383.59643399999999</v>
      </c>
      <c r="K12" s="38">
        <f t="shared" si="4"/>
        <v>8349.1655752799998</v>
      </c>
      <c r="L12" s="38">
        <f>L8*D26</f>
        <v>11.062065240000001</v>
      </c>
      <c r="M12" s="13"/>
    </row>
    <row r="13" spans="1:13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25">
      <c r="A14" s="28" t="s">
        <v>44</v>
      </c>
      <c r="B14" s="2" t="s">
        <v>11</v>
      </c>
      <c r="C14" s="38">
        <f>C2</f>
        <v>1326.9</v>
      </c>
      <c r="D14" s="38">
        <v>835.38</v>
      </c>
      <c r="E14" s="38">
        <f>330.98*102/100</f>
        <v>337.59960000000001</v>
      </c>
      <c r="F14" s="38">
        <f>C14+D14+E14</f>
        <v>2499.8796000000002</v>
      </c>
      <c r="G14" s="38">
        <f>G2</f>
        <v>818.82</v>
      </c>
      <c r="H14" s="38">
        <f>E14</f>
        <v>337.59960000000001</v>
      </c>
      <c r="I14" s="38">
        <f>I2</f>
        <v>31.53</v>
      </c>
      <c r="J14" s="38">
        <f>G14+D14</f>
        <v>1654.2</v>
      </c>
      <c r="K14" s="38">
        <f>((F14*12)+(J14*2)+(H14*2))</f>
        <v>33982.154400000007</v>
      </c>
      <c r="L14" s="38">
        <f>L2</f>
        <v>51.071400000000004</v>
      </c>
      <c r="M14" s="38">
        <f>119.45*102/100</f>
        <v>121.839</v>
      </c>
    </row>
    <row r="15" spans="1:13" x14ac:dyDescent="0.25">
      <c r="A15" s="28" t="s">
        <v>14</v>
      </c>
      <c r="B15" s="2" t="s">
        <v>38</v>
      </c>
      <c r="C15" s="38">
        <f>C14*0.4332</f>
        <v>574.81308000000001</v>
      </c>
      <c r="D15" s="38">
        <f>D14*D23</f>
        <v>361.886616</v>
      </c>
      <c r="E15" s="38">
        <f>E14*D23</f>
        <v>146.24814671999999</v>
      </c>
      <c r="F15" s="38">
        <f>C15+D15+H15</f>
        <v>1082.9478427199999</v>
      </c>
      <c r="G15" s="38">
        <f>G14*D23</f>
        <v>354.71282400000001</v>
      </c>
      <c r="H15" s="38">
        <f>H14*D23</f>
        <v>146.24814671999999</v>
      </c>
      <c r="I15" s="38">
        <f>I14*D23</f>
        <v>13.658795999999999</v>
      </c>
      <c r="J15" s="38">
        <f t="shared" ref="J15:J18" si="6">G15+D15</f>
        <v>716.59943999999996</v>
      </c>
      <c r="K15" s="38">
        <f t="shared" ref="K15:K18" si="7">((F15*12)+(J15*2)+(H15*2))</f>
        <v>14721.069286079997</v>
      </c>
      <c r="L15" s="38">
        <f>L14*D23</f>
        <v>22.124130480000002</v>
      </c>
      <c r="M15" s="13"/>
    </row>
    <row r="16" spans="1:13" x14ac:dyDescent="0.25">
      <c r="A16" s="12"/>
      <c r="B16" s="2" t="s">
        <v>39</v>
      </c>
      <c r="C16" s="38">
        <f>C14*D24</f>
        <v>479.01089999999999</v>
      </c>
      <c r="D16" s="38">
        <f>D14*D24</f>
        <v>301.57218</v>
      </c>
      <c r="E16" s="38">
        <f>E14*D24</f>
        <v>121.8734556</v>
      </c>
      <c r="F16" s="38">
        <f t="shared" ref="F16:F18" si="8">C16+D16+E16</f>
        <v>902.45653560000005</v>
      </c>
      <c r="G16" s="38">
        <f>G14*D24</f>
        <v>295.59402</v>
      </c>
      <c r="H16" s="38">
        <f>H14*D24</f>
        <v>121.8734556</v>
      </c>
      <c r="I16" s="38">
        <f>I14*D24</f>
        <v>11.38233</v>
      </c>
      <c r="J16" s="38">
        <f t="shared" si="6"/>
        <v>597.1662</v>
      </c>
      <c r="K16" s="38">
        <f t="shared" si="7"/>
        <v>12267.557738399999</v>
      </c>
      <c r="L16" s="38">
        <f>L14*D24</f>
        <v>18.436775400000002</v>
      </c>
      <c r="M16" s="13"/>
    </row>
    <row r="17" spans="1:13" x14ac:dyDescent="0.25">
      <c r="A17" s="12"/>
      <c r="B17" s="2" t="s">
        <v>40</v>
      </c>
      <c r="C17" s="38">
        <f>C14*D25</f>
        <v>383.20872000000003</v>
      </c>
      <c r="D17" s="38">
        <f>D14*D25</f>
        <v>241.257744</v>
      </c>
      <c r="E17" s="38">
        <f>E14*D25</f>
        <v>97.498764480000006</v>
      </c>
      <c r="F17" s="38">
        <f t="shared" si="8"/>
        <v>721.96522848000006</v>
      </c>
      <c r="G17" s="38">
        <f>G14*D25</f>
        <v>236.47521600000002</v>
      </c>
      <c r="H17" s="38">
        <f>H14*D25</f>
        <v>97.498764480000006</v>
      </c>
      <c r="I17" s="38">
        <f>I14*D25</f>
        <v>9.1058640000000004</v>
      </c>
      <c r="J17" s="38">
        <f t="shared" si="6"/>
        <v>477.73296000000005</v>
      </c>
      <c r="K17" s="38">
        <f t="shared" si="7"/>
        <v>9814.0461907200024</v>
      </c>
      <c r="L17" s="38">
        <f>L14*D25</f>
        <v>14.74942032</v>
      </c>
      <c r="M17" s="13"/>
    </row>
    <row r="18" spans="1:13" x14ac:dyDescent="0.25">
      <c r="A18" s="12"/>
      <c r="B18" s="2" t="s">
        <v>41</v>
      </c>
      <c r="C18" s="38">
        <f>C14*D26</f>
        <v>287.40654000000001</v>
      </c>
      <c r="D18" s="38">
        <f>D14*D26</f>
        <v>180.943308</v>
      </c>
      <c r="E18" s="38">
        <f>E14*D26</f>
        <v>73.124073359999997</v>
      </c>
      <c r="F18" s="38">
        <f t="shared" si="8"/>
        <v>541.47392135999996</v>
      </c>
      <c r="G18" s="38">
        <f>G14*D26</f>
        <v>177.35641200000001</v>
      </c>
      <c r="H18" s="38">
        <f>H14*D26</f>
        <v>73.124073359999997</v>
      </c>
      <c r="I18" s="38">
        <f>I14*D26</f>
        <v>6.8293979999999994</v>
      </c>
      <c r="J18" s="38">
        <f t="shared" si="6"/>
        <v>358.29971999999998</v>
      </c>
      <c r="K18" s="38">
        <f t="shared" si="7"/>
        <v>7360.5346430399986</v>
      </c>
      <c r="L18" s="38">
        <f>L14*D26</f>
        <v>11.062065240000001</v>
      </c>
      <c r="M18" s="13"/>
    </row>
    <row r="19" spans="1:13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x14ac:dyDescent="0.25">
      <c r="A20" s="84" t="s">
        <v>47</v>
      </c>
      <c r="B20" s="84"/>
      <c r="C20" s="84"/>
      <c r="D20" s="84"/>
      <c r="E20" s="84"/>
      <c r="F20" s="84"/>
      <c r="G20" s="84"/>
      <c r="H20" s="84"/>
      <c r="I20" s="12"/>
      <c r="J20" s="12"/>
      <c r="K20" s="12"/>
      <c r="L20" s="12"/>
      <c r="M20" s="12"/>
    </row>
    <row r="21" spans="1:13" x14ac:dyDescent="0.25">
      <c r="A21" s="2"/>
      <c r="B21" s="3"/>
      <c r="C21" s="4" t="s">
        <v>15</v>
      </c>
      <c r="D21" s="4" t="s">
        <v>53</v>
      </c>
      <c r="E21" s="88" t="s">
        <v>16</v>
      </c>
      <c r="F21" s="89"/>
      <c r="G21" s="5" t="s">
        <v>48</v>
      </c>
      <c r="H21" s="5" t="s">
        <v>35</v>
      </c>
      <c r="I21" s="27"/>
      <c r="J21" s="27"/>
      <c r="K21" s="5" t="s">
        <v>48</v>
      </c>
      <c r="L21" s="5" t="s">
        <v>17</v>
      </c>
      <c r="M21" s="5" t="s">
        <v>18</v>
      </c>
    </row>
    <row r="22" spans="1:13" x14ac:dyDescent="0.25">
      <c r="A22" s="85" t="s">
        <v>103</v>
      </c>
      <c r="B22" s="2" t="s">
        <v>11</v>
      </c>
      <c r="C22" s="38">
        <f>1033.92*102/100</f>
        <v>1054.5984000000001</v>
      </c>
      <c r="D22" s="6"/>
      <c r="E22" s="7" t="s">
        <v>11</v>
      </c>
      <c r="F22" s="9">
        <f>H22</f>
        <v>63.821400000000004</v>
      </c>
      <c r="G22" s="7" t="s">
        <v>2</v>
      </c>
      <c r="H22" s="9">
        <f>62.57*102/100</f>
        <v>63.821400000000004</v>
      </c>
      <c r="I22" s="27"/>
      <c r="J22" s="27"/>
      <c r="K22" s="7" t="s">
        <v>2</v>
      </c>
      <c r="L22" s="6">
        <v>118.04</v>
      </c>
      <c r="M22" s="6">
        <v>51.68</v>
      </c>
    </row>
    <row r="23" spans="1:13" x14ac:dyDescent="0.25">
      <c r="A23" s="86"/>
      <c r="B23" s="12" t="s">
        <v>38</v>
      </c>
      <c r="C23" s="6">
        <f>C22*D23</f>
        <v>456.85202687999998</v>
      </c>
      <c r="D23" s="8">
        <v>0.43319999999999997</v>
      </c>
      <c r="E23" s="7" t="s">
        <v>38</v>
      </c>
      <c r="F23" s="9">
        <f>F22*0.4332</f>
        <v>27.647430480000001</v>
      </c>
      <c r="G23" s="7" t="s">
        <v>3</v>
      </c>
      <c r="H23" s="9">
        <f>47.73*102/100</f>
        <v>48.684600000000003</v>
      </c>
      <c r="I23" s="27"/>
      <c r="J23" s="27"/>
      <c r="K23" s="7" t="s">
        <v>3</v>
      </c>
      <c r="L23" s="6">
        <v>92.9</v>
      </c>
      <c r="M23" s="6">
        <v>40.68</v>
      </c>
    </row>
    <row r="24" spans="1:13" x14ac:dyDescent="0.25">
      <c r="A24" s="86"/>
      <c r="B24" s="12" t="s">
        <v>39</v>
      </c>
      <c r="C24" s="6">
        <f>C22*D24</f>
        <v>380.71002240000001</v>
      </c>
      <c r="D24" s="8">
        <v>0.36099999999999999</v>
      </c>
      <c r="E24" s="7" t="s">
        <v>39</v>
      </c>
      <c r="F24" s="9">
        <f>F22*0.361</f>
        <v>23.039525400000002</v>
      </c>
      <c r="G24" s="9" t="s">
        <v>5</v>
      </c>
      <c r="H24" s="9">
        <f>38.28*102/100</f>
        <v>39.0456</v>
      </c>
      <c r="I24" s="27"/>
      <c r="J24" s="27"/>
      <c r="K24" s="7" t="s">
        <v>4</v>
      </c>
      <c r="L24" s="2">
        <v>81.349999999999994</v>
      </c>
      <c r="M24" s="2">
        <v>35.619999999999997</v>
      </c>
    </row>
    <row r="25" spans="1:13" x14ac:dyDescent="0.25">
      <c r="A25" s="86"/>
      <c r="B25" s="12" t="s">
        <v>40</v>
      </c>
      <c r="C25" s="6">
        <f>C22*D25</f>
        <v>304.56801792000005</v>
      </c>
      <c r="D25" s="8">
        <v>0.2888</v>
      </c>
      <c r="E25" s="7" t="s">
        <v>40</v>
      </c>
      <c r="F25" s="9">
        <f>F22*0.2888</f>
        <v>18.43162032</v>
      </c>
      <c r="G25" s="9" t="s">
        <v>6</v>
      </c>
      <c r="H25" s="9">
        <f>25.78*102/100</f>
        <v>26.2956</v>
      </c>
      <c r="I25" s="27"/>
      <c r="J25" s="27"/>
      <c r="K25" s="9" t="s">
        <v>5</v>
      </c>
      <c r="L25" s="6">
        <v>71.349999999999994</v>
      </c>
      <c r="M25" s="6">
        <v>31.24</v>
      </c>
    </row>
    <row r="26" spans="1:13" x14ac:dyDescent="0.25">
      <c r="A26" s="86"/>
      <c r="B26" s="12" t="s">
        <v>41</v>
      </c>
      <c r="C26" s="6">
        <f>C22*D26</f>
        <v>228.42601343999999</v>
      </c>
      <c r="D26" s="8">
        <v>0.21659999999999999</v>
      </c>
      <c r="E26" s="7" t="s">
        <v>41</v>
      </c>
      <c r="F26" s="9">
        <f>F22*0.2166</f>
        <v>13.82371524</v>
      </c>
      <c r="G26" s="9" t="s">
        <v>19</v>
      </c>
      <c r="H26" s="9">
        <f>19.18*102/100</f>
        <v>19.563599999999997</v>
      </c>
      <c r="I26" s="27"/>
      <c r="J26" s="27"/>
      <c r="K26" s="9" t="s">
        <v>6</v>
      </c>
      <c r="L26" s="6">
        <v>56.45</v>
      </c>
      <c r="M26" s="6">
        <v>24.72</v>
      </c>
    </row>
    <row r="27" spans="1:13" x14ac:dyDescent="0.25">
      <c r="A27" s="87"/>
      <c r="B27" s="2" t="s">
        <v>46</v>
      </c>
      <c r="C27" s="6">
        <f>C22*D27</f>
        <v>152.28400896000002</v>
      </c>
      <c r="D27" s="8">
        <v>0.1444</v>
      </c>
      <c r="E27" s="7" t="s">
        <v>46</v>
      </c>
      <c r="F27" s="9">
        <f>F22*0.1444</f>
        <v>9.2158101600000002</v>
      </c>
      <c r="G27" s="27"/>
      <c r="H27" s="27"/>
      <c r="I27" s="27"/>
      <c r="J27" s="27"/>
      <c r="K27" s="9" t="s">
        <v>19</v>
      </c>
      <c r="L27" s="6">
        <v>48.13</v>
      </c>
      <c r="M27" s="6">
        <v>21.07</v>
      </c>
    </row>
    <row r="29" spans="1:13" x14ac:dyDescent="0.25">
      <c r="D29" s="76" t="s">
        <v>10</v>
      </c>
      <c r="E29" s="77"/>
      <c r="F29" s="77"/>
      <c r="G29" s="78"/>
      <c r="I29" s="76" t="s">
        <v>52</v>
      </c>
      <c r="J29" s="78"/>
    </row>
    <row r="30" spans="1:13" x14ac:dyDescent="0.25">
      <c r="D30" s="68" t="s">
        <v>49</v>
      </c>
      <c r="E30" s="68"/>
      <c r="F30" s="68" t="s">
        <v>50</v>
      </c>
      <c r="G30" s="68"/>
      <c r="I30" s="92">
        <v>1377.35</v>
      </c>
      <c r="J30" s="92"/>
    </row>
    <row r="31" spans="1:13" x14ac:dyDescent="0.25">
      <c r="D31" s="10" t="s">
        <v>48</v>
      </c>
      <c r="E31" s="10" t="s">
        <v>51</v>
      </c>
      <c r="F31" s="10" t="s">
        <v>48</v>
      </c>
      <c r="G31" s="10" t="s">
        <v>51</v>
      </c>
    </row>
    <row r="32" spans="1:13" x14ac:dyDescent="0.25">
      <c r="D32" s="7" t="s">
        <v>2</v>
      </c>
      <c r="E32" s="9">
        <v>51.07</v>
      </c>
      <c r="F32" s="7" t="s">
        <v>2</v>
      </c>
      <c r="G32" s="70">
        <v>31.53</v>
      </c>
      <c r="I32" s="79" t="s">
        <v>96</v>
      </c>
      <c r="J32" s="80"/>
      <c r="K32" s="31" t="s">
        <v>51</v>
      </c>
      <c r="L32" s="32" t="s">
        <v>10</v>
      </c>
    </row>
    <row r="33" spans="4:20" x14ac:dyDescent="0.25">
      <c r="D33" s="7" t="s">
        <v>3</v>
      </c>
      <c r="E33" s="9">
        <v>41.65</v>
      </c>
      <c r="F33" s="7" t="s">
        <v>3</v>
      </c>
      <c r="G33" s="70">
        <v>30.37</v>
      </c>
      <c r="I33" s="90" t="s">
        <v>48</v>
      </c>
      <c r="J33" s="91"/>
      <c r="K33" s="32" t="s">
        <v>97</v>
      </c>
      <c r="L33" s="32" t="s">
        <v>97</v>
      </c>
    </row>
    <row r="34" spans="4:20" x14ac:dyDescent="0.25">
      <c r="D34" s="7" t="s">
        <v>4</v>
      </c>
      <c r="E34" s="9">
        <v>36.54</v>
      </c>
      <c r="F34" s="7" t="s">
        <v>4</v>
      </c>
      <c r="G34" s="70">
        <v>31.6</v>
      </c>
      <c r="I34" s="94" t="s">
        <v>2</v>
      </c>
      <c r="J34" s="95"/>
      <c r="K34" s="71">
        <f>1033.92*102/100</f>
        <v>1054.5984000000001</v>
      </c>
      <c r="L34" s="71">
        <f>62.57*102/100</f>
        <v>63.821400000000004</v>
      </c>
      <c r="M34" s="57"/>
      <c r="N34" s="57" t="s">
        <v>140</v>
      </c>
    </row>
    <row r="35" spans="4:20" x14ac:dyDescent="0.25">
      <c r="D35" s="9" t="s">
        <v>5</v>
      </c>
      <c r="E35" s="9">
        <v>31.53</v>
      </c>
      <c r="F35" s="9" t="s">
        <v>5</v>
      </c>
      <c r="G35" s="70">
        <v>27.21</v>
      </c>
      <c r="I35" s="94" t="s">
        <v>3</v>
      </c>
      <c r="J35" s="95"/>
      <c r="K35" s="71">
        <f>769.68*102/100</f>
        <v>785.07360000000006</v>
      </c>
      <c r="L35" s="71">
        <f>47.77*102/100</f>
        <v>48.7254</v>
      </c>
      <c r="M35" s="57"/>
      <c r="N35" s="57" t="s">
        <v>55</v>
      </c>
    </row>
    <row r="36" spans="4:20" x14ac:dyDescent="0.25">
      <c r="D36" s="9" t="s">
        <v>6</v>
      </c>
      <c r="E36" s="9">
        <v>21.46</v>
      </c>
      <c r="F36" s="9" t="s">
        <v>6</v>
      </c>
      <c r="G36" s="70">
        <v>21.24</v>
      </c>
      <c r="I36" s="94" t="s">
        <v>4</v>
      </c>
      <c r="J36" s="95"/>
      <c r="K36" s="71">
        <f>769.68*102/100</f>
        <v>785.07360000000006</v>
      </c>
      <c r="L36" s="71">
        <f>47.77*102/100</f>
        <v>48.7254</v>
      </c>
      <c r="M36" s="57" t="s">
        <v>2</v>
      </c>
      <c r="N36" s="57">
        <f>K34*$D$23</f>
        <v>456.85202687999998</v>
      </c>
    </row>
    <row r="37" spans="4:20" x14ac:dyDescent="0.25">
      <c r="D37" s="9" t="s">
        <v>19</v>
      </c>
      <c r="E37" s="9">
        <v>16.16</v>
      </c>
      <c r="F37" s="9" t="s">
        <v>19</v>
      </c>
      <c r="G37" s="70">
        <v>16.16</v>
      </c>
      <c r="I37" s="94" t="s">
        <v>5</v>
      </c>
      <c r="J37" s="95"/>
      <c r="K37" s="71">
        <f>627.58*102/100</f>
        <v>640.13160000000005</v>
      </c>
      <c r="L37" s="71">
        <f>38.32*102/100</f>
        <v>39.086399999999998</v>
      </c>
      <c r="M37" s="57" t="s">
        <v>3</v>
      </c>
      <c r="N37" s="57">
        <f>K35*$D$23</f>
        <v>340.09388352000002</v>
      </c>
    </row>
    <row r="38" spans="4:20" x14ac:dyDescent="0.25">
      <c r="I38" s="94" t="s">
        <v>6</v>
      </c>
      <c r="J38" s="95"/>
      <c r="K38" s="71">
        <f>413.99*102/100</f>
        <v>422.26980000000003</v>
      </c>
      <c r="L38" s="71">
        <f>25.8*102/100</f>
        <v>26.315999999999999</v>
      </c>
      <c r="M38" s="57"/>
      <c r="N38" s="57"/>
    </row>
    <row r="39" spans="4:20" x14ac:dyDescent="0.25">
      <c r="I39" s="96" t="s">
        <v>19</v>
      </c>
      <c r="J39" s="97"/>
      <c r="K39" s="11">
        <v>374.33</v>
      </c>
      <c r="L39" s="11">
        <v>19.600000000000001</v>
      </c>
      <c r="S39" s="57" t="s">
        <v>5</v>
      </c>
      <c r="T39" s="57">
        <f>K37*$D$23</f>
        <v>277.30500912000002</v>
      </c>
    </row>
    <row r="40" spans="4:20" x14ac:dyDescent="0.25">
      <c r="D40" s="81" t="s">
        <v>84</v>
      </c>
      <c r="E40" s="81"/>
      <c r="F40" s="81"/>
      <c r="G40" s="81"/>
      <c r="M40" s="57" t="s">
        <v>6</v>
      </c>
      <c r="N40" s="57">
        <f>K38*$D$23</f>
        <v>182.92727736000001</v>
      </c>
    </row>
    <row r="41" spans="4:20" x14ac:dyDescent="0.25">
      <c r="D41" s="82" t="s">
        <v>85</v>
      </c>
      <c r="E41" s="82"/>
      <c r="F41" s="21" t="s">
        <v>86</v>
      </c>
      <c r="G41" s="21" t="s">
        <v>87</v>
      </c>
      <c r="I41" s="76" t="s">
        <v>98</v>
      </c>
      <c r="J41" s="77"/>
      <c r="K41" s="78"/>
      <c r="M41" s="57" t="s">
        <v>19</v>
      </c>
      <c r="N41" s="57">
        <f>Q39*$D$23</f>
        <v>0</v>
      </c>
    </row>
    <row r="42" spans="4:20" x14ac:dyDescent="0.25">
      <c r="D42" s="29" t="s">
        <v>88</v>
      </c>
      <c r="E42" s="29"/>
      <c r="F42" s="23">
        <f>1671.2*102/100</f>
        <v>1704.624</v>
      </c>
      <c r="G42" s="23">
        <f>F42</f>
        <v>1704.624</v>
      </c>
      <c r="I42" s="92">
        <f>1776.91*102/100</f>
        <v>1812.4482</v>
      </c>
      <c r="J42" s="93"/>
      <c r="K42" s="93"/>
      <c r="N42" s="56"/>
    </row>
    <row r="43" spans="4:20" x14ac:dyDescent="0.25">
      <c r="D43" s="29" t="s">
        <v>89</v>
      </c>
      <c r="E43" s="29"/>
      <c r="F43" s="23">
        <f>755.52*102/100</f>
        <v>770.6303999999999</v>
      </c>
      <c r="G43" s="23">
        <f t="shared" ref="G43:G49" si="9">F43</f>
        <v>770.6303999999999</v>
      </c>
    </row>
    <row r="44" spans="4:20" x14ac:dyDescent="0.25">
      <c r="D44" s="29" t="s">
        <v>90</v>
      </c>
      <c r="E44" s="29"/>
      <c r="F44" s="23">
        <f>589.07*102/100</f>
        <v>600.85140000000001</v>
      </c>
      <c r="G44" s="23">
        <f t="shared" si="9"/>
        <v>600.85140000000001</v>
      </c>
      <c r="I44" s="76" t="s">
        <v>151</v>
      </c>
      <c r="J44" s="77"/>
      <c r="K44" s="77"/>
      <c r="L44" s="78"/>
    </row>
    <row r="45" spans="4:20" x14ac:dyDescent="0.25">
      <c r="D45" s="29" t="s">
        <v>91</v>
      </c>
      <c r="E45" s="29"/>
      <c r="F45" s="23">
        <f>317.88*102/100</f>
        <v>324.23759999999999</v>
      </c>
      <c r="G45" s="23">
        <f t="shared" si="9"/>
        <v>324.23759999999999</v>
      </c>
      <c r="I45" s="68" t="s">
        <v>144</v>
      </c>
      <c r="J45" s="68" t="s">
        <v>99</v>
      </c>
      <c r="K45" s="68">
        <v>2024</v>
      </c>
      <c r="L45" s="68" t="s">
        <v>145</v>
      </c>
    </row>
    <row r="46" spans="4:20" x14ac:dyDescent="0.25">
      <c r="D46" s="29" t="s">
        <v>92</v>
      </c>
      <c r="E46" s="29"/>
      <c r="F46" s="23">
        <f>426.25*102/100</f>
        <v>434.77499999999998</v>
      </c>
      <c r="G46" s="23">
        <f t="shared" si="9"/>
        <v>434.77499999999998</v>
      </c>
      <c r="I46" s="11" t="s">
        <v>146</v>
      </c>
      <c r="J46" s="69" t="s">
        <v>2</v>
      </c>
      <c r="K46" s="72">
        <f>80.28*102/100</f>
        <v>81.885600000000011</v>
      </c>
      <c r="L46" s="72">
        <f>K46</f>
        <v>81.885600000000011</v>
      </c>
    </row>
    <row r="47" spans="4:20" x14ac:dyDescent="0.25">
      <c r="D47" s="29" t="s">
        <v>1</v>
      </c>
      <c r="E47" s="29"/>
      <c r="F47" s="23">
        <f>229.14*102/100</f>
        <v>233.72279999999998</v>
      </c>
      <c r="G47" s="23">
        <f t="shared" si="9"/>
        <v>233.72279999999998</v>
      </c>
      <c r="I47" s="11" t="s">
        <v>147</v>
      </c>
      <c r="J47" s="69" t="s">
        <v>2</v>
      </c>
      <c r="K47" s="72">
        <f>93.32*102/100</f>
        <v>95.186399999999992</v>
      </c>
      <c r="L47" s="72">
        <f>L46+K47</f>
        <v>177.072</v>
      </c>
    </row>
    <row r="48" spans="4:20" x14ac:dyDescent="0.25">
      <c r="D48" s="83" t="s">
        <v>93</v>
      </c>
      <c r="E48" s="83"/>
      <c r="F48" s="23">
        <f>426.25*102/100</f>
        <v>434.77499999999998</v>
      </c>
      <c r="G48" s="23">
        <f t="shared" si="9"/>
        <v>434.77499999999998</v>
      </c>
      <c r="I48" s="11" t="s">
        <v>148</v>
      </c>
      <c r="J48" s="69" t="s">
        <v>2</v>
      </c>
      <c r="K48" s="72">
        <f>119.81*102/100</f>
        <v>122.20620000000001</v>
      </c>
      <c r="L48" s="72">
        <f t="shared" ref="L48:L50" si="10">L47+K48</f>
        <v>299.27820000000003</v>
      </c>
      <c r="M48" s="59"/>
      <c r="N48" s="57" t="s">
        <v>141</v>
      </c>
    </row>
    <row r="49" spans="4:14" x14ac:dyDescent="0.25">
      <c r="D49" s="83" t="s">
        <v>94</v>
      </c>
      <c r="E49" s="83"/>
      <c r="F49" s="23">
        <f>165.77*102/100</f>
        <v>169.08540000000002</v>
      </c>
      <c r="G49" s="23">
        <f t="shared" si="9"/>
        <v>169.08540000000002</v>
      </c>
      <c r="I49" s="11" t="s">
        <v>149</v>
      </c>
      <c r="J49" s="69" t="s">
        <v>2</v>
      </c>
      <c r="K49" s="72">
        <f>152.19*102/100</f>
        <v>155.2338</v>
      </c>
      <c r="L49" s="72">
        <f t="shared" si="10"/>
        <v>454.51200000000006</v>
      </c>
      <c r="M49" s="59" t="s">
        <v>2</v>
      </c>
      <c r="N49" s="60">
        <v>28.06</v>
      </c>
    </row>
    <row r="50" spans="4:14" x14ac:dyDescent="0.25">
      <c r="I50" s="11" t="s">
        <v>150</v>
      </c>
      <c r="J50" s="69" t="s">
        <v>2</v>
      </c>
      <c r="K50" s="72">
        <f>59.45*102/100</f>
        <v>60.639000000000003</v>
      </c>
      <c r="L50" s="72">
        <f t="shared" si="10"/>
        <v>515.15100000000007</v>
      </c>
      <c r="M50" s="59" t="s">
        <v>3</v>
      </c>
      <c r="N50" s="60">
        <v>21.4</v>
      </c>
    </row>
    <row r="51" spans="4:14" x14ac:dyDescent="0.25">
      <c r="M51" s="59" t="s">
        <v>5</v>
      </c>
      <c r="N51" s="60">
        <v>17.16</v>
      </c>
    </row>
    <row r="52" spans="4:14" x14ac:dyDescent="0.25">
      <c r="M52" s="59"/>
      <c r="N52" s="60"/>
    </row>
    <row r="53" spans="4:14" x14ac:dyDescent="0.25">
      <c r="M53" s="59"/>
      <c r="N53" s="60"/>
    </row>
  </sheetData>
  <sheetProtection algorithmName="SHA-512" hashValue="A845KKomOL/7J45ffS6rCYz+5wGAJXgpv4mqSrQQ2QXiRduLRGiOoSovOjJRZZ69dJxeGq0zAsJpBP8aWBbJRw==" saltValue="a4eTrnA6wxzm/i6Gytsmxg==" spinCount="100000" sheet="1" formatCells="0" formatColumns="0"/>
  <mergeCells count="21">
    <mergeCell ref="I44:L44"/>
    <mergeCell ref="D48:E48"/>
    <mergeCell ref="D49:E49"/>
    <mergeCell ref="A20:H20"/>
    <mergeCell ref="A22:A27"/>
    <mergeCell ref="E21:F21"/>
    <mergeCell ref="I33:J33"/>
    <mergeCell ref="I42:K42"/>
    <mergeCell ref="I30:J30"/>
    <mergeCell ref="I34:J34"/>
    <mergeCell ref="I35:J35"/>
    <mergeCell ref="I36:J36"/>
    <mergeCell ref="I37:J37"/>
    <mergeCell ref="I39:J39"/>
    <mergeCell ref="I38:J38"/>
    <mergeCell ref="I29:J29"/>
    <mergeCell ref="D29:G29"/>
    <mergeCell ref="I32:J32"/>
    <mergeCell ref="I41:K41"/>
    <mergeCell ref="D40:G40"/>
    <mergeCell ref="D41:E41"/>
  </mergeCells>
  <pageMargins left="0.31496062992125984" right="0.31496062992125984" top="0.55118110236220474" bottom="0.55118110236220474" header="0.31496062992125984" footer="0.31496062992125984"/>
  <pageSetup paperSize="8" orientation="landscape" r:id="rId1"/>
  <headerFooter>
    <oddHeader>&amp;LRetribuciones Personal Docente Funcionario  2024&amp;CReal Decreto-ley 4/2024, de 26 de junio</oddHeader>
    <oddFooter>&amp;LUniversidad de Granada&amp;R&amp;P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"/>
  <sheetViews>
    <sheetView workbookViewId="0">
      <selection activeCell="B44" sqref="B44"/>
    </sheetView>
  </sheetViews>
  <sheetFormatPr baseColWidth="10" defaultRowHeight="15" x14ac:dyDescent="0.25"/>
  <cols>
    <col min="1" max="1" width="63.28515625" style="1" customWidth="1"/>
    <col min="2" max="2" width="19" style="1" customWidth="1"/>
    <col min="3" max="3" width="22.5703125" style="1" customWidth="1"/>
    <col min="4" max="4" width="23" style="1" bestFit="1" customWidth="1"/>
    <col min="5" max="5" width="15.140625" style="1" customWidth="1"/>
    <col min="6" max="6" width="13.42578125" style="1" bestFit="1" customWidth="1"/>
    <col min="7" max="7" width="17.85546875" style="1" customWidth="1"/>
    <col min="8" max="8" width="19.5703125" style="1" customWidth="1"/>
    <col min="9" max="16384" width="11.42578125" style="1"/>
  </cols>
  <sheetData>
    <row r="1" spans="1:8" ht="21" x14ac:dyDescent="0.35">
      <c r="A1" s="101"/>
      <c r="B1" s="101"/>
      <c r="C1" s="101"/>
      <c r="D1" s="101"/>
      <c r="E1" s="101"/>
      <c r="F1" s="101"/>
      <c r="G1" s="101"/>
      <c r="H1" s="101"/>
    </row>
    <row r="2" spans="1:8" ht="21" x14ac:dyDescent="0.35">
      <c r="A2" s="30"/>
      <c r="B2" s="30"/>
      <c r="C2" s="30"/>
      <c r="D2" s="30"/>
      <c r="E2" s="30"/>
      <c r="F2" s="30"/>
      <c r="G2" s="30"/>
      <c r="H2" s="30"/>
    </row>
    <row r="3" spans="1:8" x14ac:dyDescent="0.25">
      <c r="A3" s="14"/>
      <c r="B3" s="14"/>
      <c r="C3" s="14"/>
      <c r="D3" s="14"/>
      <c r="E3" s="14"/>
      <c r="F3" s="14"/>
      <c r="G3" s="14"/>
    </row>
    <row r="4" spans="1:8" ht="30" x14ac:dyDescent="0.25">
      <c r="A4" s="18" t="s">
        <v>61</v>
      </c>
      <c r="B4" s="18" t="s">
        <v>62</v>
      </c>
      <c r="C4" s="18" t="s">
        <v>63</v>
      </c>
      <c r="D4" s="19" t="s">
        <v>142</v>
      </c>
      <c r="E4" s="19" t="s">
        <v>64</v>
      </c>
      <c r="F4" s="18" t="s">
        <v>65</v>
      </c>
      <c r="G4" s="18" t="s">
        <v>66</v>
      </c>
      <c r="H4" s="57" t="s">
        <v>67</v>
      </c>
    </row>
    <row r="5" spans="1:8" x14ac:dyDescent="0.25">
      <c r="A5" s="18"/>
      <c r="B5" s="18"/>
      <c r="C5" s="18"/>
      <c r="D5" s="19"/>
      <c r="E5" s="19"/>
      <c r="F5" s="18"/>
      <c r="G5" s="67">
        <v>818.82</v>
      </c>
      <c r="H5" s="57"/>
    </row>
    <row r="6" spans="1:8" x14ac:dyDescent="0.25">
      <c r="A6" s="10" t="s">
        <v>68</v>
      </c>
      <c r="B6" s="11" t="s">
        <v>54</v>
      </c>
      <c r="C6" s="15" t="str">
        <f>FIXED(C10*65%)</f>
        <v>862,49</v>
      </c>
      <c r="D6" s="16">
        <f>D10*65%</f>
        <v>974.35</v>
      </c>
      <c r="E6" s="15"/>
      <c r="F6" s="22">
        <f t="shared" ref="F6:F15" si="0">C6+D6+E6</f>
        <v>1836.8400000000001</v>
      </c>
      <c r="G6" s="22">
        <f>G5*90%+D6</f>
        <v>1711.288</v>
      </c>
      <c r="H6" s="57" t="s">
        <v>20</v>
      </c>
    </row>
    <row r="7" spans="1:8" x14ac:dyDescent="0.25">
      <c r="A7" s="10" t="s">
        <v>69</v>
      </c>
      <c r="B7" s="11" t="s">
        <v>54</v>
      </c>
      <c r="C7" s="15" t="str">
        <f>C6</f>
        <v>862,49</v>
      </c>
      <c r="D7" s="16">
        <f>D10*65%</f>
        <v>974.35</v>
      </c>
      <c r="E7" s="16">
        <f>F10*2%</f>
        <v>56.518000000000001</v>
      </c>
      <c r="F7" s="22">
        <f t="shared" si="0"/>
        <v>1893.3580000000002</v>
      </c>
      <c r="G7" s="22">
        <f>G5*90%+D7</f>
        <v>1711.288</v>
      </c>
      <c r="H7" s="57" t="s">
        <v>21</v>
      </c>
    </row>
    <row r="8" spans="1:8" x14ac:dyDescent="0.25">
      <c r="A8" s="10" t="s">
        <v>70</v>
      </c>
      <c r="B8" s="11" t="s">
        <v>54</v>
      </c>
      <c r="C8" s="15" t="str">
        <f>C6</f>
        <v>862,49</v>
      </c>
      <c r="D8" s="16">
        <f>D10*65%</f>
        <v>974.35</v>
      </c>
      <c r="E8" s="16" t="str">
        <f>FIXED(F10*5%)</f>
        <v>141,30</v>
      </c>
      <c r="F8" s="22">
        <f t="shared" si="0"/>
        <v>1978.14</v>
      </c>
      <c r="G8" s="22">
        <f>G5*90%+D8</f>
        <v>1711.288</v>
      </c>
      <c r="H8" s="57" t="s">
        <v>22</v>
      </c>
    </row>
    <row r="9" spans="1:8" x14ac:dyDescent="0.25">
      <c r="A9" s="10" t="s">
        <v>71</v>
      </c>
      <c r="B9" s="11" t="s">
        <v>54</v>
      </c>
      <c r="C9" s="22">
        <f>C10*90%</f>
        <v>1194.21</v>
      </c>
      <c r="D9" s="22">
        <f>D10*90%</f>
        <v>1349.1000000000001</v>
      </c>
      <c r="E9" s="15"/>
      <c r="F9" s="22">
        <f t="shared" si="0"/>
        <v>2543.3100000000004</v>
      </c>
      <c r="G9" s="22">
        <f>G5*90%+D9</f>
        <v>2086.0380000000005</v>
      </c>
      <c r="H9" s="57" t="s">
        <v>23</v>
      </c>
    </row>
    <row r="10" spans="1:8" x14ac:dyDescent="0.25">
      <c r="A10" s="10" t="s">
        <v>139</v>
      </c>
      <c r="B10" s="11" t="s">
        <v>54</v>
      </c>
      <c r="C10" s="24">
        <v>1326.9</v>
      </c>
      <c r="D10" s="24">
        <v>1499</v>
      </c>
      <c r="E10" s="25"/>
      <c r="F10" s="24">
        <f t="shared" si="0"/>
        <v>2825.9</v>
      </c>
      <c r="G10" s="22">
        <f>G5+D10</f>
        <v>2317.8200000000002</v>
      </c>
      <c r="H10" s="57" t="s">
        <v>24</v>
      </c>
    </row>
    <row r="11" spans="1:8" x14ac:dyDescent="0.25">
      <c r="A11" s="10" t="s">
        <v>72</v>
      </c>
      <c r="B11" s="11" t="s">
        <v>54</v>
      </c>
      <c r="C11" s="25" t="str">
        <f>FIXED(C10*85%)</f>
        <v>1.127,87</v>
      </c>
      <c r="D11" s="24">
        <f>D10*85/100</f>
        <v>1274.1500000000001</v>
      </c>
      <c r="E11" s="25"/>
      <c r="F11" s="24">
        <f t="shared" si="0"/>
        <v>2402.02</v>
      </c>
      <c r="G11" s="22">
        <f>G5*85%+D11</f>
        <v>1970.1470000000002</v>
      </c>
      <c r="H11" s="57" t="s">
        <v>25</v>
      </c>
    </row>
    <row r="12" spans="1:8" x14ac:dyDescent="0.25">
      <c r="A12" s="10" t="s">
        <v>60</v>
      </c>
      <c r="B12" s="11" t="s">
        <v>54</v>
      </c>
      <c r="C12" s="25" t="str">
        <f>FIXED(C10*85%)</f>
        <v>1.127,87</v>
      </c>
      <c r="D12" s="73" t="str">
        <f>FIXED(D10*85%)</f>
        <v>1.274,15</v>
      </c>
      <c r="E12" s="16">
        <f>E7</f>
        <v>56.518000000000001</v>
      </c>
      <c r="F12" s="22">
        <f t="shared" si="0"/>
        <v>2458.538</v>
      </c>
      <c r="G12" s="22">
        <f>G5*85%+D12+E12</f>
        <v>2026.6650000000002</v>
      </c>
      <c r="H12" s="57" t="s">
        <v>26</v>
      </c>
    </row>
    <row r="13" spans="1:8" x14ac:dyDescent="0.25">
      <c r="A13" s="10" t="s">
        <v>73</v>
      </c>
      <c r="B13" s="11" t="s">
        <v>54</v>
      </c>
      <c r="C13" s="25" t="str">
        <f>FIXED(C10*85%)</f>
        <v>1.127,87</v>
      </c>
      <c r="D13" s="73" t="str">
        <f>FIXED(D10*85%)</f>
        <v>1.274,15</v>
      </c>
      <c r="E13" s="16" t="str">
        <f>E8</f>
        <v>141,30</v>
      </c>
      <c r="F13" s="22">
        <f t="shared" si="0"/>
        <v>2543.3200000000002</v>
      </c>
      <c r="G13" s="22">
        <f>G5*85%+D13+E13</f>
        <v>2111.4470000000001</v>
      </c>
      <c r="H13" s="57" t="s">
        <v>27</v>
      </c>
    </row>
    <row r="14" spans="1:8" x14ac:dyDescent="0.25">
      <c r="A14" s="10" t="s">
        <v>74</v>
      </c>
      <c r="B14" s="11" t="s">
        <v>54</v>
      </c>
      <c r="C14" s="24">
        <f>1040.65*102/100</f>
        <v>1061.463</v>
      </c>
      <c r="D14" s="73">
        <f>699.07*102/100</f>
        <v>713.05139999999994</v>
      </c>
      <c r="E14" s="15"/>
      <c r="F14" s="22">
        <f t="shared" si="0"/>
        <v>1774.5144</v>
      </c>
      <c r="G14" s="22">
        <f>C14+D14+E14</f>
        <v>1774.5144</v>
      </c>
      <c r="H14" s="57"/>
    </row>
    <row r="15" spans="1:8" x14ac:dyDescent="0.25">
      <c r="A15" s="10" t="s">
        <v>75</v>
      </c>
      <c r="B15" s="11" t="s">
        <v>54</v>
      </c>
      <c r="C15" s="24">
        <f>C14</f>
        <v>1061.463</v>
      </c>
      <c r="D15" s="24">
        <f>1077.77*102/100</f>
        <v>1099.3253999999999</v>
      </c>
      <c r="E15" s="15"/>
      <c r="F15" s="22">
        <f t="shared" si="0"/>
        <v>2160.7883999999999</v>
      </c>
      <c r="G15" s="22">
        <f>C15+D15+E15</f>
        <v>2160.7883999999999</v>
      </c>
      <c r="H15" s="57"/>
    </row>
    <row r="16" spans="1:8" x14ac:dyDescent="0.25">
      <c r="A16" s="10" t="s">
        <v>76</v>
      </c>
      <c r="B16" s="11" t="s">
        <v>54</v>
      </c>
      <c r="C16" s="25" t="str">
        <f>FIXED(C10*60%)</f>
        <v>796,14</v>
      </c>
      <c r="D16" s="73" t="str">
        <f>FIXED(D10*60%)</f>
        <v>899,40</v>
      </c>
      <c r="E16" s="15"/>
      <c r="F16" s="22">
        <f>C16+D16</f>
        <v>1695.54</v>
      </c>
      <c r="G16" s="16">
        <f>G5*60%+D16</f>
        <v>1390.692</v>
      </c>
      <c r="H16" s="57" t="s">
        <v>153</v>
      </c>
    </row>
    <row r="17" spans="1:8" x14ac:dyDescent="0.25">
      <c r="A17" s="102" t="s">
        <v>77</v>
      </c>
      <c r="B17" s="11" t="s">
        <v>55</v>
      </c>
      <c r="C17" s="25" t="str">
        <f>FIXED(C10*30%)</f>
        <v>398,07</v>
      </c>
      <c r="D17" s="73" t="str">
        <f>FIXED(D10*30%)</f>
        <v>449,70</v>
      </c>
      <c r="E17" s="15"/>
      <c r="F17" s="16">
        <f>C17+D17+E17</f>
        <v>847.77</v>
      </c>
      <c r="G17" s="16">
        <f>G5*30%+D17</f>
        <v>695.346</v>
      </c>
      <c r="H17" s="57" t="s">
        <v>154</v>
      </c>
    </row>
    <row r="18" spans="1:8" x14ac:dyDescent="0.25">
      <c r="A18" s="103"/>
      <c r="B18" s="11" t="s">
        <v>56</v>
      </c>
      <c r="C18" s="25" t="str">
        <f>FIXED(C10*25%)</f>
        <v>331,73</v>
      </c>
      <c r="D18" s="73" t="str">
        <f>FIXED(D10*25%)</f>
        <v>374,75</v>
      </c>
      <c r="E18" s="15"/>
      <c r="F18" s="16">
        <f>C18+D18+E18</f>
        <v>706.48</v>
      </c>
      <c r="G18" s="16">
        <f>G5*25%+D18</f>
        <v>579.45500000000004</v>
      </c>
      <c r="H18" s="57" t="s">
        <v>155</v>
      </c>
    </row>
    <row r="19" spans="1:8" x14ac:dyDescent="0.25">
      <c r="A19" s="103"/>
      <c r="B19" s="11" t="s">
        <v>57</v>
      </c>
      <c r="C19" s="25" t="str">
        <f>FIXED(C10*20%)</f>
        <v>265,38</v>
      </c>
      <c r="D19" s="73" t="str">
        <f>FIXED(D10*20%)</f>
        <v>299,80</v>
      </c>
      <c r="E19" s="15"/>
      <c r="F19" s="16">
        <f>C19+D19+E19</f>
        <v>565.18000000000006</v>
      </c>
      <c r="G19" s="16">
        <f>G5*20%+D19</f>
        <v>463.56400000000002</v>
      </c>
      <c r="H19" s="57" t="s">
        <v>156</v>
      </c>
    </row>
    <row r="20" spans="1:8" x14ac:dyDescent="0.25">
      <c r="A20" s="103"/>
      <c r="B20" s="11" t="s">
        <v>58</v>
      </c>
      <c r="C20" s="25" t="str">
        <f>FIXED(C10*15%)</f>
        <v>199,04</v>
      </c>
      <c r="D20" s="73" t="str">
        <f>FIXED(D10*15%)</f>
        <v>224,85</v>
      </c>
      <c r="E20" s="15"/>
      <c r="F20" s="16">
        <f>C20+D20+E20</f>
        <v>423.89</v>
      </c>
      <c r="G20" s="16">
        <f>G5*15%+D20</f>
        <v>347.673</v>
      </c>
      <c r="H20" s="57" t="s">
        <v>157</v>
      </c>
    </row>
    <row r="21" spans="1:8" x14ac:dyDescent="0.25">
      <c r="A21" s="104"/>
      <c r="B21" s="11" t="s">
        <v>59</v>
      </c>
      <c r="C21" s="25" t="str">
        <f>FIXED(C10*10%)</f>
        <v>132,69</v>
      </c>
      <c r="D21" s="73" t="str">
        <f>FIXED(D10*10%)</f>
        <v>149,90</v>
      </c>
      <c r="E21" s="15"/>
      <c r="F21" s="16">
        <f>C21+D21+E21</f>
        <v>282.59000000000003</v>
      </c>
      <c r="G21" s="16">
        <f>G5*10%+D21</f>
        <v>231.78200000000001</v>
      </c>
      <c r="H21" s="57" t="s">
        <v>158</v>
      </c>
    </row>
    <row r="22" spans="1:8" x14ac:dyDescent="0.25">
      <c r="A22" s="10" t="s">
        <v>78</v>
      </c>
      <c r="B22" s="11" t="s">
        <v>95</v>
      </c>
      <c r="C22" s="24">
        <v>423.89</v>
      </c>
      <c r="D22" s="25"/>
      <c r="E22" s="15"/>
      <c r="F22" s="15"/>
      <c r="G22" s="15"/>
      <c r="H22" s="57" t="s">
        <v>157</v>
      </c>
    </row>
    <row r="24" spans="1:8" x14ac:dyDescent="0.25">
      <c r="B24" s="76" t="s">
        <v>83</v>
      </c>
      <c r="C24" s="78"/>
      <c r="F24" s="76" t="s">
        <v>80</v>
      </c>
      <c r="G24" s="77"/>
      <c r="H24" s="78"/>
    </row>
    <row r="25" spans="1:8" x14ac:dyDescent="0.25">
      <c r="B25" s="10" t="s">
        <v>0</v>
      </c>
      <c r="C25" s="16">
        <f>F10*2%</f>
        <v>56.518000000000001</v>
      </c>
      <c r="F25" s="10" t="s">
        <v>62</v>
      </c>
      <c r="G25" s="10" t="s">
        <v>81</v>
      </c>
      <c r="H25" s="10" t="s">
        <v>82</v>
      </c>
    </row>
    <row r="26" spans="1:8" x14ac:dyDescent="0.25">
      <c r="B26" s="10" t="s">
        <v>79</v>
      </c>
      <c r="C26" s="16" t="str">
        <f>FIXED(F10*5%)</f>
        <v>141,30</v>
      </c>
      <c r="D26" s="58">
        <v>1716.82</v>
      </c>
      <c r="E26" s="58">
        <v>100</v>
      </c>
      <c r="F26" s="11" t="s">
        <v>55</v>
      </c>
      <c r="G26" s="24">
        <f>51.07*30/100</f>
        <v>15.321</v>
      </c>
      <c r="H26" s="24">
        <f>31.53*30/100</f>
        <v>9.4590000000000014</v>
      </c>
    </row>
    <row r="27" spans="1:8" x14ac:dyDescent="0.25">
      <c r="C27" s="26"/>
      <c r="D27" s="58">
        <f>D26*E27/E26</f>
        <v>1776.9087</v>
      </c>
      <c r="E27" s="58">
        <v>103.5</v>
      </c>
      <c r="F27" s="11" t="s">
        <v>56</v>
      </c>
      <c r="G27" s="24">
        <f>51.07*25/100</f>
        <v>12.7675</v>
      </c>
      <c r="H27" s="24">
        <f>31.53*25/100</f>
        <v>7.8825000000000003</v>
      </c>
    </row>
    <row r="28" spans="1:8" x14ac:dyDescent="0.25">
      <c r="C28" s="26"/>
      <c r="D28" s="27"/>
      <c r="F28" s="11" t="s">
        <v>57</v>
      </c>
      <c r="G28" s="24">
        <f>51.07*20/100</f>
        <v>10.214</v>
      </c>
      <c r="H28" s="24">
        <f>31.53*20/100</f>
        <v>6.306</v>
      </c>
    </row>
    <row r="29" spans="1:8" x14ac:dyDescent="0.25">
      <c r="A29" s="20" t="s">
        <v>84</v>
      </c>
      <c r="B29" s="17"/>
      <c r="F29" s="11" t="s">
        <v>58</v>
      </c>
      <c r="G29" s="24">
        <f>51.07*15/100</f>
        <v>7.6604999999999999</v>
      </c>
      <c r="H29" s="24">
        <f>31.53*15/100</f>
        <v>4.7295000000000007</v>
      </c>
    </row>
    <row r="30" spans="1:8" x14ac:dyDescent="0.25">
      <c r="A30" s="33" t="s">
        <v>85</v>
      </c>
      <c r="B30" s="34"/>
      <c r="C30" s="21" t="s">
        <v>86</v>
      </c>
      <c r="F30" s="11" t="s">
        <v>59</v>
      </c>
      <c r="G30" s="24">
        <f>51.07*10/100</f>
        <v>5.1070000000000002</v>
      </c>
      <c r="H30" s="24">
        <f>31.53*10/100</f>
        <v>3.153</v>
      </c>
    </row>
    <row r="31" spans="1:8" x14ac:dyDescent="0.25">
      <c r="A31" s="35" t="s">
        <v>88</v>
      </c>
      <c r="B31" s="36"/>
      <c r="C31" s="23">
        <v>1704.624</v>
      </c>
    </row>
    <row r="32" spans="1:8" x14ac:dyDescent="0.25">
      <c r="A32" s="29" t="s">
        <v>89</v>
      </c>
      <c r="B32" s="29"/>
      <c r="C32" s="23">
        <v>770.6303999999999</v>
      </c>
      <c r="E32" s="108" t="s">
        <v>101</v>
      </c>
      <c r="F32" s="108"/>
      <c r="G32" s="31" t="s">
        <v>102</v>
      </c>
      <c r="H32" s="37" t="s">
        <v>81</v>
      </c>
    </row>
    <row r="33" spans="1:8" x14ac:dyDescent="0.25">
      <c r="A33" s="29" t="s">
        <v>90</v>
      </c>
      <c r="B33" s="29"/>
      <c r="C33" s="23">
        <v>600.85140000000001</v>
      </c>
      <c r="E33" s="109" t="s">
        <v>99</v>
      </c>
      <c r="F33" s="109"/>
      <c r="G33" s="90" t="s">
        <v>100</v>
      </c>
      <c r="H33" s="105"/>
    </row>
    <row r="34" spans="1:8" x14ac:dyDescent="0.25">
      <c r="A34" s="29" t="s">
        <v>91</v>
      </c>
      <c r="B34" s="29"/>
      <c r="C34" s="23">
        <v>324.23759999999999</v>
      </c>
      <c r="E34" s="110" t="s">
        <v>2</v>
      </c>
      <c r="F34" s="110"/>
      <c r="G34" s="71">
        <v>1054.5984000000001</v>
      </c>
      <c r="H34" s="71">
        <v>63.821400000000004</v>
      </c>
    </row>
    <row r="35" spans="1:8" x14ac:dyDescent="0.25">
      <c r="A35" s="29" t="s">
        <v>92</v>
      </c>
      <c r="B35" s="29"/>
      <c r="C35" s="23">
        <v>434.77499999999998</v>
      </c>
      <c r="E35" s="110" t="s">
        <v>3</v>
      </c>
      <c r="F35" s="110"/>
      <c r="G35" s="71">
        <v>785.07360000000006</v>
      </c>
      <c r="H35" s="71">
        <v>48.7254</v>
      </c>
    </row>
    <row r="36" spans="1:8" x14ac:dyDescent="0.25">
      <c r="A36" s="35" t="s">
        <v>1</v>
      </c>
      <c r="B36" s="36"/>
      <c r="C36" s="23">
        <v>233.72279999999998</v>
      </c>
      <c r="E36" s="111" t="s">
        <v>4</v>
      </c>
      <c r="F36" s="111"/>
      <c r="G36" s="71">
        <v>785.07360000000006</v>
      </c>
      <c r="H36" s="71">
        <v>48.7254</v>
      </c>
    </row>
    <row r="37" spans="1:8" x14ac:dyDescent="0.25">
      <c r="A37" s="29" t="s">
        <v>93</v>
      </c>
      <c r="B37" s="29"/>
      <c r="C37" s="23">
        <v>434.77499999999998</v>
      </c>
      <c r="E37" s="110" t="s">
        <v>5</v>
      </c>
      <c r="F37" s="110"/>
      <c r="G37" s="71">
        <v>640.13160000000005</v>
      </c>
      <c r="H37" s="71">
        <v>39.086399999999998</v>
      </c>
    </row>
    <row r="38" spans="1:8" x14ac:dyDescent="0.25">
      <c r="A38" s="106" t="s">
        <v>94</v>
      </c>
      <c r="B38" s="107"/>
      <c r="C38" s="23">
        <v>169.08540000000002</v>
      </c>
      <c r="E38" s="94" t="s">
        <v>6</v>
      </c>
      <c r="F38" s="95"/>
      <c r="G38" s="71">
        <v>422.26980000000003</v>
      </c>
      <c r="H38" s="71">
        <v>26.315999999999999</v>
      </c>
    </row>
    <row r="39" spans="1:8" x14ac:dyDescent="0.25">
      <c r="E39" s="94" t="s">
        <v>19</v>
      </c>
      <c r="F39" s="95"/>
      <c r="G39" s="71">
        <v>374.32980000000003</v>
      </c>
      <c r="H39" s="71">
        <v>19.604399999999998</v>
      </c>
    </row>
    <row r="40" spans="1:8" ht="15" customHeight="1" x14ac:dyDescent="0.25">
      <c r="A40" s="11" t="s">
        <v>107</v>
      </c>
      <c r="B40" s="72">
        <f>1776.91*102/100</f>
        <v>1812.4482</v>
      </c>
    </row>
    <row r="41" spans="1:8" ht="15" customHeight="1" x14ac:dyDescent="0.25">
      <c r="E41" s="98" t="s">
        <v>106</v>
      </c>
      <c r="F41" s="100"/>
      <c r="G41" s="10" t="s">
        <v>104</v>
      </c>
      <c r="H41" s="10" t="s">
        <v>105</v>
      </c>
    </row>
    <row r="42" spans="1:8" x14ac:dyDescent="0.25">
      <c r="E42" s="98"/>
      <c r="F42" s="99"/>
      <c r="G42" s="74">
        <f>141.15*102/100</f>
        <v>143.97300000000001</v>
      </c>
      <c r="H42" s="72">
        <f>G42*85/100</f>
        <v>122.37705000000001</v>
      </c>
    </row>
  </sheetData>
  <sheetProtection algorithmName="SHA-512" hashValue="SkBCGHdVxhzjTD5/SNKDL81Tu5GmxKadKKkLIh+e3rOZY0Nw8s6GBI4fT7bJ5lFFMEOvNpLKMC+8HLuTMv+H4A==" saltValue="68PP2ISed8FyYhL5x2dvrg==" spinCount="100000" sheet="1" formatCells="0"/>
  <mergeCells count="16">
    <mergeCell ref="E42:F42"/>
    <mergeCell ref="E41:F41"/>
    <mergeCell ref="A1:H1"/>
    <mergeCell ref="B24:C24"/>
    <mergeCell ref="A17:A21"/>
    <mergeCell ref="F24:H24"/>
    <mergeCell ref="G33:H33"/>
    <mergeCell ref="A38:B38"/>
    <mergeCell ref="E32:F32"/>
    <mergeCell ref="E33:F33"/>
    <mergeCell ref="E34:F34"/>
    <mergeCell ref="E35:F35"/>
    <mergeCell ref="E37:F37"/>
    <mergeCell ref="E38:F38"/>
    <mergeCell ref="E36:F36"/>
    <mergeCell ref="E39:F39"/>
  </mergeCells>
  <pageMargins left="0.70866141732283472" right="0.70866141732283472" top="0.74803149606299213" bottom="0.74803149606299213" header="0.31496062992125984" footer="0.31496062992125984"/>
  <pageSetup paperSize="8" scale="99" orientation="landscape" r:id="rId1"/>
  <headerFooter>
    <oddHeader>&amp;LRetribuciones Personal Docente Laboral 2024&amp;CReal Decreto-ley 4/2024, de 26 de junio</oddHeader>
    <oddFooter>&amp;LUniversidad de Granada&amp;R&amp;P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="110" zoomScaleNormal="110" workbookViewId="0">
      <selection activeCell="A40" sqref="A40:A41"/>
    </sheetView>
  </sheetViews>
  <sheetFormatPr baseColWidth="10" defaultColWidth="8" defaultRowHeight="12.75" x14ac:dyDescent="0.25"/>
  <cols>
    <col min="1" max="1" width="33.85546875" style="46" customWidth="1"/>
    <col min="2" max="2" width="5" style="46" customWidth="1"/>
    <col min="3" max="4" width="9" style="46" customWidth="1"/>
    <col min="5" max="6" width="10.85546875" style="46" customWidth="1"/>
    <col min="7" max="7" width="9" style="46" customWidth="1"/>
    <col min="8" max="8" width="10.85546875" style="46" customWidth="1"/>
    <col min="9" max="9" width="8" style="46" customWidth="1"/>
    <col min="10" max="10" width="6.85546875" style="46" customWidth="1"/>
    <col min="11" max="11" width="9.85546875" style="46" customWidth="1"/>
    <col min="12" max="12" width="9" style="46" customWidth="1"/>
    <col min="13" max="14" width="10.85546875" style="46" customWidth="1"/>
    <col min="15" max="15" width="6.85546875" style="46" customWidth="1"/>
    <col min="16" max="16384" width="8" style="46"/>
  </cols>
  <sheetData>
    <row r="1" spans="1:16" s="42" customFormat="1" ht="24" customHeight="1" x14ac:dyDescent="0.25">
      <c r="A1" s="120" t="s">
        <v>152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/>
      <c r="O1" s="41"/>
    </row>
    <row r="2" spans="1:16" ht="14.1" customHeight="1" x14ac:dyDescent="0.2">
      <c r="A2" s="123" t="s">
        <v>7</v>
      </c>
      <c r="B2" s="43" t="s">
        <v>108</v>
      </c>
      <c r="C2" s="125" t="s">
        <v>8</v>
      </c>
      <c r="D2" s="126"/>
      <c r="E2" s="127"/>
      <c r="F2" s="128" t="s">
        <v>109</v>
      </c>
      <c r="G2" s="129"/>
      <c r="H2" s="130"/>
      <c r="I2" s="131" t="s">
        <v>110</v>
      </c>
      <c r="J2" s="132"/>
      <c r="K2" s="133"/>
      <c r="L2" s="125" t="s">
        <v>111</v>
      </c>
      <c r="M2" s="127"/>
      <c r="N2" s="44" t="s">
        <v>115</v>
      </c>
      <c r="O2" s="45"/>
    </row>
    <row r="3" spans="1:16" ht="14.1" customHeight="1" x14ac:dyDescent="0.2">
      <c r="A3" s="124"/>
      <c r="B3" s="47" t="s">
        <v>112</v>
      </c>
      <c r="C3" s="44" t="s">
        <v>113</v>
      </c>
      <c r="D3" s="44" t="s">
        <v>114</v>
      </c>
      <c r="E3" s="44" t="s">
        <v>115</v>
      </c>
      <c r="F3" s="44" t="s">
        <v>116</v>
      </c>
      <c r="G3" s="44" t="s">
        <v>114</v>
      </c>
      <c r="H3" s="44" t="s">
        <v>115</v>
      </c>
      <c r="I3" s="44" t="s">
        <v>113</v>
      </c>
      <c r="J3" s="44" t="s">
        <v>114</v>
      </c>
      <c r="K3" s="44" t="s">
        <v>115</v>
      </c>
      <c r="L3" s="44" t="s">
        <v>114</v>
      </c>
      <c r="M3" s="44" t="s">
        <v>115</v>
      </c>
      <c r="N3" s="44" t="s">
        <v>143</v>
      </c>
      <c r="O3" s="45"/>
    </row>
    <row r="4" spans="1:16" ht="14.1" customHeight="1" x14ac:dyDescent="0.25">
      <c r="A4" s="61" t="s">
        <v>117</v>
      </c>
      <c r="B4" s="62"/>
      <c r="C4" s="62"/>
      <c r="D4" s="63"/>
      <c r="E4" s="62"/>
      <c r="F4" s="62"/>
      <c r="G4" s="63"/>
      <c r="H4" s="62"/>
      <c r="I4" s="62"/>
      <c r="J4" s="63"/>
      <c r="K4" s="62"/>
      <c r="L4" s="63"/>
      <c r="M4" s="62"/>
      <c r="N4" s="62"/>
      <c r="O4" s="45"/>
    </row>
    <row r="5" spans="1:16" ht="14.1" customHeight="1" x14ac:dyDescent="0.2">
      <c r="A5" s="112" t="s">
        <v>118</v>
      </c>
      <c r="B5" s="48" t="s">
        <v>119</v>
      </c>
      <c r="C5" s="64">
        <f>1300.88*102/100</f>
        <v>1326.8976</v>
      </c>
      <c r="D5" s="65">
        <v>0</v>
      </c>
      <c r="E5" s="64">
        <f>C5+D5</f>
        <v>1326.8976</v>
      </c>
      <c r="F5" s="64">
        <f>1019.22*102/100</f>
        <v>1039.6043999999999</v>
      </c>
      <c r="G5" s="65">
        <f>743.28*102/100</f>
        <v>758.14559999999994</v>
      </c>
      <c r="H5" s="64">
        <f>F5+G5</f>
        <v>1797.75</v>
      </c>
      <c r="I5" s="64">
        <f>1149.15*102/100</f>
        <v>1172.133</v>
      </c>
      <c r="J5" s="65">
        <v>0</v>
      </c>
      <c r="K5" s="64">
        <f>I5+J5</f>
        <v>1172.133</v>
      </c>
      <c r="L5" s="64">
        <f>1587.26*102/100</f>
        <v>1619.0051999999998</v>
      </c>
      <c r="M5" s="64">
        <f>L5</f>
        <v>1619.0051999999998</v>
      </c>
      <c r="N5" s="64">
        <f>E5+H5+K5+M5</f>
        <v>5915.7857999999997</v>
      </c>
      <c r="O5" s="45"/>
    </row>
    <row r="6" spans="1:16" ht="14.1" customHeight="1" x14ac:dyDescent="0.2">
      <c r="A6" s="113"/>
      <c r="B6" s="48" t="s">
        <v>120</v>
      </c>
      <c r="C6" s="65">
        <f>563.55*102/100</f>
        <v>574.82100000000003</v>
      </c>
      <c r="D6" s="65">
        <f>737.33*102/100</f>
        <v>752.07659999999998</v>
      </c>
      <c r="E6" s="64">
        <f t="shared" ref="E6:E12" si="0">C6+D6</f>
        <v>1326.8976</v>
      </c>
      <c r="F6" s="65">
        <f>939.34*102/100</f>
        <v>958.12680000000012</v>
      </c>
      <c r="G6" s="65">
        <f>823.17*102/100</f>
        <v>839.63339999999994</v>
      </c>
      <c r="H6" s="64">
        <f t="shared" ref="H6:H12" si="1">F6+G6</f>
        <v>1797.7602000000002</v>
      </c>
      <c r="I6" s="65">
        <v>0</v>
      </c>
      <c r="J6" s="65">
        <v>0</v>
      </c>
      <c r="K6" s="64">
        <f t="shared" ref="K6:K12" si="2">I6+J6</f>
        <v>0</v>
      </c>
      <c r="L6" s="64">
        <f>L5</f>
        <v>1619.0051999999998</v>
      </c>
      <c r="M6" s="64">
        <f>L5</f>
        <v>1619.0051999999998</v>
      </c>
      <c r="N6" s="64">
        <f t="shared" ref="N6:N12" si="3">E6+H6+K6+M6</f>
        <v>4743.6629999999996</v>
      </c>
      <c r="O6" s="45"/>
    </row>
    <row r="7" spans="1:16" ht="14.1" customHeight="1" x14ac:dyDescent="0.2">
      <c r="A7" s="112" t="s">
        <v>121</v>
      </c>
      <c r="B7" s="48" t="s">
        <v>119</v>
      </c>
      <c r="C7" s="64">
        <f>C5</f>
        <v>1326.8976</v>
      </c>
      <c r="D7" s="65">
        <v>0</v>
      </c>
      <c r="E7" s="64">
        <f t="shared" si="0"/>
        <v>1326.8976</v>
      </c>
      <c r="F7" s="64">
        <f>F5</f>
        <v>1039.6043999999999</v>
      </c>
      <c r="G7" s="65">
        <f>585.89*102/100</f>
        <v>597.6078</v>
      </c>
      <c r="H7" s="64">
        <f t="shared" si="1"/>
        <v>1637.2121999999999</v>
      </c>
      <c r="I7" s="64">
        <f>I5</f>
        <v>1172.133</v>
      </c>
      <c r="J7" s="65">
        <v>0</v>
      </c>
      <c r="K7" s="64">
        <f t="shared" si="2"/>
        <v>1172.133</v>
      </c>
      <c r="L7" s="64">
        <f>1615.01*102/100</f>
        <v>1647.3101999999999</v>
      </c>
      <c r="M7" s="64">
        <f t="shared" ref="M7:M12" si="4">L7</f>
        <v>1647.3101999999999</v>
      </c>
      <c r="N7" s="64">
        <f t="shared" si="3"/>
        <v>5783.5529999999999</v>
      </c>
      <c r="O7" s="45"/>
    </row>
    <row r="8" spans="1:16" ht="14.1" customHeight="1" x14ac:dyDescent="0.2">
      <c r="A8" s="113"/>
      <c r="B8" s="48" t="s">
        <v>120</v>
      </c>
      <c r="C8" s="65">
        <f>C6</f>
        <v>574.82100000000003</v>
      </c>
      <c r="D8" s="65">
        <f>D6</f>
        <v>752.07659999999998</v>
      </c>
      <c r="E8" s="64">
        <f t="shared" si="0"/>
        <v>1326.8976</v>
      </c>
      <c r="F8" s="65">
        <f>F6</f>
        <v>958.12680000000012</v>
      </c>
      <c r="G8" s="65">
        <f>665.78*102/100</f>
        <v>679.09559999999999</v>
      </c>
      <c r="H8" s="64">
        <f t="shared" si="1"/>
        <v>1637.2224000000001</v>
      </c>
      <c r="I8" s="65">
        <v>0</v>
      </c>
      <c r="J8" s="65">
        <v>0</v>
      </c>
      <c r="K8" s="64">
        <f t="shared" si="2"/>
        <v>0</v>
      </c>
      <c r="L8" s="64">
        <f>L7</f>
        <v>1647.3101999999999</v>
      </c>
      <c r="M8" s="64">
        <f t="shared" si="4"/>
        <v>1647.3101999999999</v>
      </c>
      <c r="N8" s="64">
        <f t="shared" si="3"/>
        <v>4611.4301999999998</v>
      </c>
      <c r="O8" s="45"/>
    </row>
    <row r="9" spans="1:16" ht="14.1" customHeight="1" x14ac:dyDescent="0.2">
      <c r="A9" s="112" t="s">
        <v>122</v>
      </c>
      <c r="B9" s="48" t="s">
        <v>119</v>
      </c>
      <c r="C9" s="64">
        <f>C5</f>
        <v>1326.8976</v>
      </c>
      <c r="D9" s="65">
        <v>0</v>
      </c>
      <c r="E9" s="64">
        <f t="shared" si="0"/>
        <v>1326.8976</v>
      </c>
      <c r="F9" s="64">
        <f>F5</f>
        <v>1039.6043999999999</v>
      </c>
      <c r="G9" s="65">
        <f>456.67*102/100</f>
        <v>465.80340000000001</v>
      </c>
      <c r="H9" s="64">
        <f t="shared" si="1"/>
        <v>1505.4078</v>
      </c>
      <c r="I9" s="64">
        <f>I5</f>
        <v>1172.133</v>
      </c>
      <c r="J9" s="65">
        <v>0</v>
      </c>
      <c r="K9" s="64">
        <f t="shared" si="2"/>
        <v>1172.133</v>
      </c>
      <c r="L9" s="64">
        <f>1187.42*102/100</f>
        <v>1211.1684</v>
      </c>
      <c r="M9" s="64">
        <f t="shared" si="4"/>
        <v>1211.1684</v>
      </c>
      <c r="N9" s="64">
        <f t="shared" si="3"/>
        <v>5215.6067999999996</v>
      </c>
      <c r="O9" s="45"/>
    </row>
    <row r="10" spans="1:16" ht="14.1" customHeight="1" x14ac:dyDescent="0.2">
      <c r="A10" s="113"/>
      <c r="B10" s="48" t="s">
        <v>120</v>
      </c>
      <c r="C10" s="65">
        <f>C6</f>
        <v>574.82100000000003</v>
      </c>
      <c r="D10" s="65">
        <f>D6</f>
        <v>752.07659999999998</v>
      </c>
      <c r="E10" s="64">
        <f t="shared" si="0"/>
        <v>1326.8976</v>
      </c>
      <c r="F10" s="65">
        <f>F6</f>
        <v>958.12680000000012</v>
      </c>
      <c r="G10" s="65">
        <f>536.55*102/100</f>
        <v>547.28099999999995</v>
      </c>
      <c r="H10" s="64">
        <f t="shared" si="1"/>
        <v>1505.4078</v>
      </c>
      <c r="I10" s="65">
        <v>0</v>
      </c>
      <c r="J10" s="65">
        <v>0</v>
      </c>
      <c r="K10" s="64">
        <f t="shared" si="2"/>
        <v>0</v>
      </c>
      <c r="L10" s="64">
        <f>L9</f>
        <v>1211.1684</v>
      </c>
      <c r="M10" s="64">
        <f t="shared" si="4"/>
        <v>1211.1684</v>
      </c>
      <c r="N10" s="64">
        <f t="shared" si="3"/>
        <v>4043.4738000000002</v>
      </c>
      <c r="O10" s="45"/>
    </row>
    <row r="11" spans="1:16" ht="14.1" customHeight="1" x14ac:dyDescent="0.2">
      <c r="A11" s="112" t="s">
        <v>123</v>
      </c>
      <c r="B11" s="48" t="s">
        <v>119</v>
      </c>
      <c r="C11" s="64">
        <f>C5</f>
        <v>1326.8976</v>
      </c>
      <c r="D11" s="65">
        <v>0</v>
      </c>
      <c r="E11" s="64">
        <f t="shared" si="0"/>
        <v>1326.8976</v>
      </c>
      <c r="F11" s="64">
        <f>F5</f>
        <v>1039.6043999999999</v>
      </c>
      <c r="G11" s="65">
        <f>366.83*102/100</f>
        <v>374.16659999999996</v>
      </c>
      <c r="H11" s="64">
        <f t="shared" si="1"/>
        <v>1413.771</v>
      </c>
      <c r="I11" s="64">
        <f>I5</f>
        <v>1172.133</v>
      </c>
      <c r="J11" s="65">
        <v>0</v>
      </c>
      <c r="K11" s="64">
        <f t="shared" si="2"/>
        <v>1172.133</v>
      </c>
      <c r="L11" s="65">
        <f>873.18*102/100</f>
        <v>890.64359999999999</v>
      </c>
      <c r="M11" s="64">
        <f t="shared" si="4"/>
        <v>890.64359999999999</v>
      </c>
      <c r="N11" s="64">
        <f t="shared" si="3"/>
        <v>4803.4452000000001</v>
      </c>
      <c r="O11" s="45"/>
    </row>
    <row r="12" spans="1:16" ht="14.1" customHeight="1" x14ac:dyDescent="0.2">
      <c r="A12" s="113"/>
      <c r="B12" s="48" t="s">
        <v>120</v>
      </c>
      <c r="C12" s="65">
        <f>C6</f>
        <v>574.82100000000003</v>
      </c>
      <c r="D12" s="65">
        <f>D6</f>
        <v>752.07659999999998</v>
      </c>
      <c r="E12" s="64">
        <f t="shared" si="0"/>
        <v>1326.8976</v>
      </c>
      <c r="F12" s="65">
        <f>F6</f>
        <v>958.12680000000012</v>
      </c>
      <c r="G12" s="65">
        <f>446.72*102/100</f>
        <v>455.65440000000001</v>
      </c>
      <c r="H12" s="64">
        <f t="shared" si="1"/>
        <v>1413.7812000000001</v>
      </c>
      <c r="I12" s="65">
        <v>0</v>
      </c>
      <c r="J12" s="65">
        <v>0</v>
      </c>
      <c r="K12" s="64">
        <f t="shared" si="2"/>
        <v>0</v>
      </c>
      <c r="L12" s="65">
        <f>L11</f>
        <v>890.64359999999999</v>
      </c>
      <c r="M12" s="64">
        <f t="shared" si="4"/>
        <v>890.64359999999999</v>
      </c>
      <c r="N12" s="64">
        <f t="shared" si="3"/>
        <v>3631.3224</v>
      </c>
      <c r="O12" s="45"/>
    </row>
    <row r="13" spans="1:16" ht="14.1" customHeight="1" x14ac:dyDescent="0.2">
      <c r="A13" s="117" t="s">
        <v>124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9"/>
      <c r="O13" s="45"/>
    </row>
    <row r="14" spans="1:16" ht="14.1" customHeight="1" x14ac:dyDescent="0.2">
      <c r="A14" s="112" t="s">
        <v>118</v>
      </c>
      <c r="B14" s="48" t="s">
        <v>119</v>
      </c>
      <c r="C14" s="64">
        <f>C5</f>
        <v>1326.8976</v>
      </c>
      <c r="D14" s="65">
        <v>0</v>
      </c>
      <c r="E14" s="64">
        <f>C14+D14</f>
        <v>1326.8976</v>
      </c>
      <c r="F14" s="65">
        <f>933.5*102/100</f>
        <v>952.17</v>
      </c>
      <c r="G14" s="65">
        <f>652.94*102/100</f>
        <v>665.99880000000007</v>
      </c>
      <c r="H14" s="64">
        <f>F14+G14</f>
        <v>1618.1687999999999</v>
      </c>
      <c r="I14" s="65">
        <f>536.11*102/100</f>
        <v>546.83220000000006</v>
      </c>
      <c r="J14" s="65">
        <f>588.93*102/100</f>
        <v>600.70859999999993</v>
      </c>
      <c r="K14" s="64">
        <f>I14+J14</f>
        <v>1147.5408</v>
      </c>
      <c r="L14" s="64">
        <f>L5</f>
        <v>1619.0051999999998</v>
      </c>
      <c r="M14" s="64">
        <f>L14</f>
        <v>1619.0051999999998</v>
      </c>
      <c r="N14" s="64">
        <f>M14+K14+H14+E14</f>
        <v>5711.6124</v>
      </c>
      <c r="O14" s="45"/>
    </row>
    <row r="15" spans="1:16" ht="14.1" customHeight="1" x14ac:dyDescent="0.2">
      <c r="A15" s="113"/>
      <c r="B15" s="48" t="s">
        <v>120</v>
      </c>
      <c r="C15" s="65">
        <f>C6</f>
        <v>574.82100000000003</v>
      </c>
      <c r="D15" s="65">
        <f>D6</f>
        <v>752.07659999999998</v>
      </c>
      <c r="E15" s="64">
        <f t="shared" ref="E15:E27" si="5">C15+D15</f>
        <v>1326.8976</v>
      </c>
      <c r="F15" s="65">
        <f>636.64*102/100</f>
        <v>649.37279999999998</v>
      </c>
      <c r="G15" s="65">
        <f>949.81*102/100</f>
        <v>968.80619999999999</v>
      </c>
      <c r="H15" s="64">
        <f t="shared" ref="H15:H27" si="6">F15+G15</f>
        <v>1618.1790000000001</v>
      </c>
      <c r="I15" s="65">
        <v>0</v>
      </c>
      <c r="J15" s="65">
        <v>0</v>
      </c>
      <c r="K15" s="64">
        <f t="shared" ref="K15:K27" si="7">I15+J15</f>
        <v>0</v>
      </c>
      <c r="L15" s="64">
        <f>L5</f>
        <v>1619.0051999999998</v>
      </c>
      <c r="M15" s="64">
        <f t="shared" ref="M15:M27" si="8">L15</f>
        <v>1619.0051999999998</v>
      </c>
      <c r="N15" s="64">
        <f t="shared" ref="N15:N27" si="9">M15+K15+H15+E15</f>
        <v>4564.0817999999999</v>
      </c>
      <c r="O15" s="45"/>
    </row>
    <row r="16" spans="1:16" ht="14.1" customHeight="1" x14ac:dyDescent="0.2">
      <c r="A16" s="112" t="s">
        <v>121</v>
      </c>
      <c r="B16" s="48" t="s">
        <v>119</v>
      </c>
      <c r="C16" s="64">
        <f>C5</f>
        <v>1326.8976</v>
      </c>
      <c r="D16" s="65">
        <v>0</v>
      </c>
      <c r="E16" s="64">
        <f t="shared" si="5"/>
        <v>1326.8976</v>
      </c>
      <c r="F16" s="65">
        <f>F14</f>
        <v>952.17</v>
      </c>
      <c r="G16" s="65">
        <f>495.54*102/100</f>
        <v>505.45080000000002</v>
      </c>
      <c r="H16" s="64">
        <f t="shared" si="6"/>
        <v>1457.6207999999999</v>
      </c>
      <c r="I16" s="65">
        <f>I14</f>
        <v>546.83220000000006</v>
      </c>
      <c r="J16" s="65">
        <f>J14</f>
        <v>600.70859999999993</v>
      </c>
      <c r="K16" s="64">
        <f t="shared" si="7"/>
        <v>1147.5408</v>
      </c>
      <c r="L16" s="64">
        <f>L7</f>
        <v>1647.3101999999999</v>
      </c>
      <c r="M16" s="64">
        <f t="shared" si="8"/>
        <v>1647.3101999999999</v>
      </c>
      <c r="N16" s="64">
        <f t="shared" si="9"/>
        <v>5579.3693999999996</v>
      </c>
      <c r="O16" s="45"/>
      <c r="P16" s="49"/>
    </row>
    <row r="17" spans="1:15" ht="14.1" customHeight="1" x14ac:dyDescent="0.2">
      <c r="A17" s="113"/>
      <c r="B17" s="48" t="s">
        <v>120</v>
      </c>
      <c r="C17" s="65">
        <f>C6</f>
        <v>574.82100000000003</v>
      </c>
      <c r="D17" s="65">
        <f>D6</f>
        <v>752.07659999999998</v>
      </c>
      <c r="E17" s="64">
        <f t="shared" si="5"/>
        <v>1326.8976</v>
      </c>
      <c r="F17" s="65">
        <f>F15</f>
        <v>649.37279999999998</v>
      </c>
      <c r="G17" s="65">
        <f>792.41*102/100</f>
        <v>808.25819999999987</v>
      </c>
      <c r="H17" s="64">
        <f t="shared" si="6"/>
        <v>1457.6309999999999</v>
      </c>
      <c r="I17" s="65">
        <v>0</v>
      </c>
      <c r="J17" s="65">
        <v>0</v>
      </c>
      <c r="K17" s="64">
        <f t="shared" si="7"/>
        <v>0</v>
      </c>
      <c r="L17" s="64">
        <f>L7</f>
        <v>1647.3101999999999</v>
      </c>
      <c r="M17" s="64">
        <f t="shared" si="8"/>
        <v>1647.3101999999999</v>
      </c>
      <c r="N17" s="64">
        <f t="shared" si="9"/>
        <v>4431.8387999999995</v>
      </c>
      <c r="O17" s="45"/>
    </row>
    <row r="18" spans="1:15" ht="14.1" customHeight="1" x14ac:dyDescent="0.2">
      <c r="A18" s="112" t="s">
        <v>122</v>
      </c>
      <c r="B18" s="48" t="s">
        <v>119</v>
      </c>
      <c r="C18" s="64">
        <f>C5</f>
        <v>1326.8976</v>
      </c>
      <c r="D18" s="65">
        <v>0</v>
      </c>
      <c r="E18" s="64">
        <f t="shared" si="5"/>
        <v>1326.8976</v>
      </c>
      <c r="F18" s="65">
        <f>F14</f>
        <v>952.17</v>
      </c>
      <c r="G18" s="65">
        <f>366.36*102/100</f>
        <v>373.68720000000002</v>
      </c>
      <c r="H18" s="64">
        <f t="shared" si="6"/>
        <v>1325.8571999999999</v>
      </c>
      <c r="I18" s="65">
        <f>I14</f>
        <v>546.83220000000006</v>
      </c>
      <c r="J18" s="65">
        <f>482.31*102/100</f>
        <v>491.95620000000002</v>
      </c>
      <c r="K18" s="64">
        <f t="shared" si="7"/>
        <v>1038.7884000000001</v>
      </c>
      <c r="L18" s="64">
        <f>L9</f>
        <v>1211.1684</v>
      </c>
      <c r="M18" s="64">
        <f t="shared" si="8"/>
        <v>1211.1684</v>
      </c>
      <c r="N18" s="64">
        <f t="shared" si="9"/>
        <v>4902.7115999999996</v>
      </c>
      <c r="O18" s="45"/>
    </row>
    <row r="19" spans="1:15" ht="14.1" customHeight="1" x14ac:dyDescent="0.2">
      <c r="A19" s="113"/>
      <c r="B19" s="48" t="s">
        <v>120</v>
      </c>
      <c r="C19" s="65">
        <f>C6</f>
        <v>574.82100000000003</v>
      </c>
      <c r="D19" s="65">
        <f>D6</f>
        <v>752.07659999999998</v>
      </c>
      <c r="E19" s="64">
        <f t="shared" si="5"/>
        <v>1326.8976</v>
      </c>
      <c r="F19" s="65">
        <f>F15</f>
        <v>649.37279999999998</v>
      </c>
      <c r="G19" s="65">
        <f>663.22*102/100</f>
        <v>676.48440000000005</v>
      </c>
      <c r="H19" s="64">
        <f t="shared" si="6"/>
        <v>1325.8571999999999</v>
      </c>
      <c r="I19" s="65">
        <v>0</v>
      </c>
      <c r="J19" s="65">
        <v>0</v>
      </c>
      <c r="K19" s="64">
        <f t="shared" si="7"/>
        <v>0</v>
      </c>
      <c r="L19" s="64">
        <f>L9</f>
        <v>1211.1684</v>
      </c>
      <c r="M19" s="64">
        <f t="shared" si="8"/>
        <v>1211.1684</v>
      </c>
      <c r="N19" s="64">
        <f t="shared" si="9"/>
        <v>3863.9232000000002</v>
      </c>
      <c r="O19" s="45"/>
    </row>
    <row r="20" spans="1:15" ht="14.1" customHeight="1" x14ac:dyDescent="0.25">
      <c r="A20" s="112" t="s">
        <v>123</v>
      </c>
      <c r="B20" s="48" t="s">
        <v>119</v>
      </c>
      <c r="C20" s="64">
        <f>C5</f>
        <v>1326.8976</v>
      </c>
      <c r="D20" s="65">
        <v>0</v>
      </c>
      <c r="E20" s="64">
        <f t="shared" si="5"/>
        <v>1326.8976</v>
      </c>
      <c r="F20" s="65">
        <f>F14</f>
        <v>952.17</v>
      </c>
      <c r="G20" s="65">
        <f>276.53*102/100</f>
        <v>282.06059999999997</v>
      </c>
      <c r="H20" s="64">
        <f t="shared" si="6"/>
        <v>1234.2305999999999</v>
      </c>
      <c r="I20" s="65">
        <f>I14</f>
        <v>546.83220000000006</v>
      </c>
      <c r="J20" s="65">
        <f>385.8*102/100</f>
        <v>393.51599999999996</v>
      </c>
      <c r="K20" s="64">
        <f t="shared" si="7"/>
        <v>940.34820000000002</v>
      </c>
      <c r="L20" s="65">
        <f>L11</f>
        <v>890.64359999999999</v>
      </c>
      <c r="M20" s="64">
        <f t="shared" si="8"/>
        <v>890.64359999999999</v>
      </c>
      <c r="N20" s="64">
        <f t="shared" si="9"/>
        <v>4392.12</v>
      </c>
      <c r="O20" s="41"/>
    </row>
    <row r="21" spans="1:15" ht="14.1" customHeight="1" x14ac:dyDescent="0.2">
      <c r="A21" s="113"/>
      <c r="B21" s="48" t="s">
        <v>120</v>
      </c>
      <c r="C21" s="65">
        <f>C6</f>
        <v>574.82100000000003</v>
      </c>
      <c r="D21" s="65">
        <f>D6</f>
        <v>752.07659999999998</v>
      </c>
      <c r="E21" s="64">
        <f t="shared" si="5"/>
        <v>1326.8976</v>
      </c>
      <c r="F21" s="65">
        <f>F15</f>
        <v>649.37279999999998</v>
      </c>
      <c r="G21" s="65">
        <f>573.39*102/100</f>
        <v>584.8578</v>
      </c>
      <c r="H21" s="64">
        <f t="shared" si="6"/>
        <v>1234.2305999999999</v>
      </c>
      <c r="I21" s="65">
        <v>0</v>
      </c>
      <c r="J21" s="65">
        <v>0</v>
      </c>
      <c r="K21" s="64">
        <f t="shared" si="7"/>
        <v>0</v>
      </c>
      <c r="L21" s="65">
        <f>L11</f>
        <v>890.64359999999999</v>
      </c>
      <c r="M21" s="64">
        <f t="shared" si="8"/>
        <v>890.64359999999999</v>
      </c>
      <c r="N21" s="64">
        <f t="shared" si="9"/>
        <v>3451.7717999999995</v>
      </c>
      <c r="O21" s="45"/>
    </row>
    <row r="22" spans="1:15" ht="14.1" customHeight="1" x14ac:dyDescent="0.2">
      <c r="A22" s="112" t="s">
        <v>125</v>
      </c>
      <c r="B22" s="48" t="s">
        <v>119</v>
      </c>
      <c r="C22" s="64">
        <f>C5</f>
        <v>1326.8976</v>
      </c>
      <c r="D22" s="65">
        <v>0</v>
      </c>
      <c r="E22" s="64">
        <f t="shared" si="5"/>
        <v>1326.8976</v>
      </c>
      <c r="F22" s="65">
        <f>F14</f>
        <v>952.17</v>
      </c>
      <c r="G22" s="65">
        <f>276.53*102/100</f>
        <v>282.06059999999997</v>
      </c>
      <c r="H22" s="64">
        <f t="shared" si="6"/>
        <v>1234.2305999999999</v>
      </c>
      <c r="I22" s="65">
        <f>I14</f>
        <v>546.83220000000006</v>
      </c>
      <c r="J22" s="65">
        <f>439.94*102/100</f>
        <v>448.73879999999997</v>
      </c>
      <c r="K22" s="64">
        <f t="shared" si="7"/>
        <v>995.57100000000003</v>
      </c>
      <c r="L22" s="65">
        <f>179.24*102/100</f>
        <v>182.82479999999998</v>
      </c>
      <c r="M22" s="64">
        <f t="shared" si="8"/>
        <v>182.82479999999998</v>
      </c>
      <c r="N22" s="64">
        <f t="shared" si="9"/>
        <v>3739.5240000000003</v>
      </c>
      <c r="O22" s="45"/>
    </row>
    <row r="23" spans="1:15" ht="14.1" customHeight="1" x14ac:dyDescent="0.2">
      <c r="A23" s="113"/>
      <c r="B23" s="48" t="s">
        <v>120</v>
      </c>
      <c r="C23" s="65">
        <f>C6</f>
        <v>574.82100000000003</v>
      </c>
      <c r="D23" s="65">
        <f>D6</f>
        <v>752.07659999999998</v>
      </c>
      <c r="E23" s="64">
        <f t="shared" si="5"/>
        <v>1326.8976</v>
      </c>
      <c r="F23" s="65">
        <f>F15</f>
        <v>649.37279999999998</v>
      </c>
      <c r="G23" s="65">
        <f>573.39*102/100</f>
        <v>584.8578</v>
      </c>
      <c r="H23" s="64">
        <f t="shared" si="6"/>
        <v>1234.2305999999999</v>
      </c>
      <c r="I23" s="65">
        <v>0</v>
      </c>
      <c r="J23" s="65">
        <v>0</v>
      </c>
      <c r="K23" s="64">
        <f t="shared" si="7"/>
        <v>0</v>
      </c>
      <c r="L23" s="65">
        <f>L22</f>
        <v>182.82479999999998</v>
      </c>
      <c r="M23" s="64">
        <f t="shared" si="8"/>
        <v>182.82479999999998</v>
      </c>
      <c r="N23" s="64">
        <f t="shared" si="9"/>
        <v>2743.9529999999995</v>
      </c>
      <c r="O23" s="45"/>
    </row>
    <row r="24" spans="1:15" ht="14.1" customHeight="1" x14ac:dyDescent="0.2">
      <c r="A24" s="112" t="s">
        <v>159</v>
      </c>
      <c r="B24" s="48" t="s">
        <v>119</v>
      </c>
      <c r="C24" s="64">
        <f>C5</f>
        <v>1326.8976</v>
      </c>
      <c r="D24" s="65">
        <v>0</v>
      </c>
      <c r="E24" s="64">
        <f t="shared" si="5"/>
        <v>1326.8976</v>
      </c>
      <c r="F24" s="65">
        <f>F14</f>
        <v>952.17</v>
      </c>
      <c r="G24" s="65">
        <f>105.42*102/100</f>
        <v>107.5284</v>
      </c>
      <c r="H24" s="64">
        <f t="shared" si="6"/>
        <v>1059.6984</v>
      </c>
      <c r="I24" s="65">
        <f>I14</f>
        <v>546.83220000000006</v>
      </c>
      <c r="J24" s="65">
        <f>163.85*102/100</f>
        <v>167.12700000000001</v>
      </c>
      <c r="K24" s="64">
        <f t="shared" si="7"/>
        <v>713.95920000000001</v>
      </c>
      <c r="L24" s="65">
        <f>556.22*102/100</f>
        <v>567.34440000000006</v>
      </c>
      <c r="M24" s="64">
        <f t="shared" si="8"/>
        <v>567.34440000000006</v>
      </c>
      <c r="N24" s="64">
        <f t="shared" si="9"/>
        <v>3667.8996000000006</v>
      </c>
      <c r="O24" s="45"/>
    </row>
    <row r="25" spans="1:15" ht="14.1" customHeight="1" x14ac:dyDescent="0.2">
      <c r="A25" s="113"/>
      <c r="B25" s="48" t="s">
        <v>120</v>
      </c>
      <c r="C25" s="65">
        <f>C6</f>
        <v>574.82100000000003</v>
      </c>
      <c r="D25" s="65">
        <f>D6</f>
        <v>752.07659999999998</v>
      </c>
      <c r="E25" s="64">
        <f t="shared" si="5"/>
        <v>1326.8976</v>
      </c>
      <c r="F25" s="65">
        <f>F15</f>
        <v>649.37279999999998</v>
      </c>
      <c r="G25" s="65">
        <f>426.23*102/100</f>
        <v>434.75459999999998</v>
      </c>
      <c r="H25" s="64">
        <f t="shared" si="6"/>
        <v>1084.1273999999999</v>
      </c>
      <c r="I25" s="65">
        <v>0</v>
      </c>
      <c r="J25" s="65">
        <v>0</v>
      </c>
      <c r="K25" s="64">
        <f t="shared" si="7"/>
        <v>0</v>
      </c>
      <c r="L25" s="65">
        <f>L24</f>
        <v>567.34440000000006</v>
      </c>
      <c r="M25" s="64">
        <f t="shared" si="8"/>
        <v>567.34440000000006</v>
      </c>
      <c r="N25" s="64">
        <f t="shared" si="9"/>
        <v>2978.3693999999996</v>
      </c>
      <c r="O25" s="45"/>
    </row>
    <row r="26" spans="1:15" ht="14.1" customHeight="1" x14ac:dyDescent="0.2">
      <c r="A26" s="112" t="s">
        <v>126</v>
      </c>
      <c r="B26" s="48" t="s">
        <v>119</v>
      </c>
      <c r="C26" s="64">
        <f>C5</f>
        <v>1326.8976</v>
      </c>
      <c r="D26" s="65">
        <v>0</v>
      </c>
      <c r="E26" s="64">
        <f t="shared" si="5"/>
        <v>1326.8976</v>
      </c>
      <c r="F26" s="65">
        <f>F14</f>
        <v>952.17</v>
      </c>
      <c r="G26" s="65">
        <v>0</v>
      </c>
      <c r="H26" s="64">
        <f t="shared" si="6"/>
        <v>952.17</v>
      </c>
      <c r="I26" s="65">
        <f>I14</f>
        <v>546.83220000000006</v>
      </c>
      <c r="J26" s="65">
        <f>36.06*102/100</f>
        <v>36.781200000000005</v>
      </c>
      <c r="K26" s="64">
        <f t="shared" si="7"/>
        <v>583.61340000000007</v>
      </c>
      <c r="L26" s="65">
        <f>519.83*102/100</f>
        <v>530.22660000000008</v>
      </c>
      <c r="M26" s="64">
        <f t="shared" si="8"/>
        <v>530.22660000000008</v>
      </c>
      <c r="N26" s="64">
        <f t="shared" si="9"/>
        <v>3392.9076000000005</v>
      </c>
      <c r="O26" s="45"/>
    </row>
    <row r="27" spans="1:15" ht="14.1" customHeight="1" x14ac:dyDescent="0.2">
      <c r="A27" s="113"/>
      <c r="B27" s="48" t="s">
        <v>120</v>
      </c>
      <c r="C27" s="65">
        <f>C6</f>
        <v>574.82100000000003</v>
      </c>
      <c r="D27" s="65">
        <f>D6</f>
        <v>752.07659999999998</v>
      </c>
      <c r="E27" s="64">
        <f t="shared" si="5"/>
        <v>1326.8976</v>
      </c>
      <c r="F27" s="65">
        <f>F15</f>
        <v>649.37279999999998</v>
      </c>
      <c r="G27" s="65">
        <f>320.78*102/100</f>
        <v>327.19559999999996</v>
      </c>
      <c r="H27" s="64">
        <f t="shared" si="6"/>
        <v>976.56839999999988</v>
      </c>
      <c r="I27" s="65">
        <v>0</v>
      </c>
      <c r="J27" s="65">
        <v>0</v>
      </c>
      <c r="K27" s="64">
        <f t="shared" si="7"/>
        <v>0</v>
      </c>
      <c r="L27" s="65">
        <f>L26</f>
        <v>530.22660000000008</v>
      </c>
      <c r="M27" s="64">
        <f t="shared" si="8"/>
        <v>530.22660000000008</v>
      </c>
      <c r="N27" s="64">
        <f t="shared" si="9"/>
        <v>2833.6926000000003</v>
      </c>
      <c r="O27" s="45"/>
    </row>
    <row r="28" spans="1:15" ht="14.1" customHeight="1" x14ac:dyDescent="0.2">
      <c r="A28" s="117" t="s">
        <v>127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9"/>
      <c r="O28" s="45"/>
    </row>
    <row r="29" spans="1:15" ht="14.1" customHeight="1" x14ac:dyDescent="0.2">
      <c r="A29" s="112" t="s">
        <v>118</v>
      </c>
      <c r="B29" s="48" t="s">
        <v>119</v>
      </c>
      <c r="C29" s="64">
        <f>C5</f>
        <v>1326.8976</v>
      </c>
      <c r="D29" s="65">
        <v>0</v>
      </c>
      <c r="E29" s="64">
        <f>C29+D29</f>
        <v>1326.8976</v>
      </c>
      <c r="F29" s="65">
        <f>819*102/100</f>
        <v>835.38</v>
      </c>
      <c r="G29" s="65">
        <f>641.77*102/100</f>
        <v>654.60540000000003</v>
      </c>
      <c r="H29" s="64">
        <f>F29+G29</f>
        <v>1489.9854</v>
      </c>
      <c r="I29" s="65">
        <f>330.98*102/100</f>
        <v>337.59960000000001</v>
      </c>
      <c r="J29" s="65">
        <f>794.11*102/100</f>
        <v>809.99220000000003</v>
      </c>
      <c r="K29" s="64">
        <f>I29+J29</f>
        <v>1147.5918000000001</v>
      </c>
      <c r="L29" s="64">
        <f>L5</f>
        <v>1619.0051999999998</v>
      </c>
      <c r="M29" s="64">
        <f>L29</f>
        <v>1619.0051999999998</v>
      </c>
      <c r="N29" s="64">
        <f>M29+K29+H29+E29</f>
        <v>5583.48</v>
      </c>
      <c r="O29" s="45"/>
    </row>
    <row r="30" spans="1:15" ht="14.1" customHeight="1" x14ac:dyDescent="0.2">
      <c r="A30" s="113"/>
      <c r="B30" s="48" t="s">
        <v>120</v>
      </c>
      <c r="C30" s="65">
        <f>C6</f>
        <v>574.82100000000003</v>
      </c>
      <c r="D30" s="65">
        <f>D6</f>
        <v>752.07659999999998</v>
      </c>
      <c r="E30" s="64">
        <f t="shared" ref="E30:E36" si="10">C30+D30</f>
        <v>1326.8976</v>
      </c>
      <c r="F30" s="65">
        <f>498.17*102/100</f>
        <v>508.13340000000005</v>
      </c>
      <c r="G30" s="65">
        <f>962.6*102/100</f>
        <v>981.85199999999998</v>
      </c>
      <c r="H30" s="64">
        <f t="shared" ref="H30:H36" si="11">F30+G30</f>
        <v>1489.9854</v>
      </c>
      <c r="I30" s="65">
        <v>0</v>
      </c>
      <c r="J30" s="65">
        <v>0</v>
      </c>
      <c r="K30" s="64">
        <f t="shared" ref="K30:K36" si="12">I30+J30</f>
        <v>0</v>
      </c>
      <c r="L30" s="64">
        <f>L5</f>
        <v>1619.0051999999998</v>
      </c>
      <c r="M30" s="64">
        <f t="shared" ref="M30:M36" si="13">L30</f>
        <v>1619.0051999999998</v>
      </c>
      <c r="N30" s="64">
        <f t="shared" ref="N30:N36" si="14">M30+K30+H30+E30</f>
        <v>4435.8882000000003</v>
      </c>
      <c r="O30" s="45"/>
    </row>
    <row r="31" spans="1:15" ht="14.1" customHeight="1" x14ac:dyDescent="0.2">
      <c r="A31" s="112" t="s">
        <v>121</v>
      </c>
      <c r="B31" s="48" t="s">
        <v>119</v>
      </c>
      <c r="C31" s="64">
        <f>C5</f>
        <v>1326.8976</v>
      </c>
      <c r="D31" s="65">
        <v>0</v>
      </c>
      <c r="E31" s="64">
        <f t="shared" si="10"/>
        <v>1326.8976</v>
      </c>
      <c r="F31" s="65">
        <f>F29</f>
        <v>835.38</v>
      </c>
      <c r="G31" s="65">
        <f>484.34*102/100</f>
        <v>494.02679999999998</v>
      </c>
      <c r="H31" s="64">
        <f t="shared" si="11"/>
        <v>1329.4068</v>
      </c>
      <c r="I31" s="65">
        <f>I29</f>
        <v>337.59960000000001</v>
      </c>
      <c r="J31" s="65">
        <f>J29</f>
        <v>809.99220000000003</v>
      </c>
      <c r="K31" s="64">
        <f t="shared" si="12"/>
        <v>1147.5918000000001</v>
      </c>
      <c r="L31" s="64">
        <f>L7</f>
        <v>1647.3101999999999</v>
      </c>
      <c r="M31" s="64">
        <f t="shared" si="13"/>
        <v>1647.3101999999999</v>
      </c>
      <c r="N31" s="64">
        <f t="shared" si="14"/>
        <v>5451.2064</v>
      </c>
      <c r="O31" s="45"/>
    </row>
    <row r="32" spans="1:15" ht="14.1" customHeight="1" x14ac:dyDescent="0.2">
      <c r="A32" s="113"/>
      <c r="B32" s="48" t="s">
        <v>120</v>
      </c>
      <c r="C32" s="65">
        <f>C6</f>
        <v>574.82100000000003</v>
      </c>
      <c r="D32" s="65">
        <f>D6</f>
        <v>752.07659999999998</v>
      </c>
      <c r="E32" s="64">
        <f t="shared" si="10"/>
        <v>1326.8976</v>
      </c>
      <c r="F32" s="65">
        <f>F30</f>
        <v>508.13340000000005</v>
      </c>
      <c r="G32" s="65">
        <f>805.17*102/100</f>
        <v>821.27339999999992</v>
      </c>
      <c r="H32" s="64">
        <f t="shared" si="11"/>
        <v>1329.4068</v>
      </c>
      <c r="I32" s="65">
        <v>0</v>
      </c>
      <c r="J32" s="65">
        <v>0</v>
      </c>
      <c r="K32" s="64">
        <f t="shared" si="12"/>
        <v>0</v>
      </c>
      <c r="L32" s="64">
        <f>L7</f>
        <v>1647.3101999999999</v>
      </c>
      <c r="M32" s="64">
        <f t="shared" si="13"/>
        <v>1647.3101999999999</v>
      </c>
      <c r="N32" s="64">
        <f t="shared" si="14"/>
        <v>4303.6145999999999</v>
      </c>
      <c r="O32" s="45"/>
    </row>
    <row r="33" spans="1:15" ht="14.1" customHeight="1" x14ac:dyDescent="0.2">
      <c r="A33" s="112" t="s">
        <v>122</v>
      </c>
      <c r="B33" s="48" t="s">
        <v>119</v>
      </c>
      <c r="C33" s="64">
        <f>C5</f>
        <v>1326.8976</v>
      </c>
      <c r="D33" s="65">
        <v>0</v>
      </c>
      <c r="E33" s="64">
        <f t="shared" si="10"/>
        <v>1326.8976</v>
      </c>
      <c r="F33" s="65">
        <f>F29</f>
        <v>835.38</v>
      </c>
      <c r="G33" s="65">
        <f>355.17*102/100</f>
        <v>362.27340000000004</v>
      </c>
      <c r="H33" s="64">
        <f t="shared" si="11"/>
        <v>1197.6534000000001</v>
      </c>
      <c r="I33" s="65">
        <f>I29</f>
        <v>337.59960000000001</v>
      </c>
      <c r="J33" s="65">
        <f>687.44*102/100</f>
        <v>701.18880000000001</v>
      </c>
      <c r="K33" s="64">
        <f t="shared" si="12"/>
        <v>1038.7883999999999</v>
      </c>
      <c r="L33" s="64">
        <f>L9</f>
        <v>1211.1684</v>
      </c>
      <c r="M33" s="64">
        <f t="shared" si="13"/>
        <v>1211.1684</v>
      </c>
      <c r="N33" s="64">
        <f t="shared" si="14"/>
        <v>4774.5078000000003</v>
      </c>
      <c r="O33" s="45"/>
    </row>
    <row r="34" spans="1:15" ht="14.1" customHeight="1" x14ac:dyDescent="0.2">
      <c r="A34" s="113"/>
      <c r="B34" s="48" t="s">
        <v>120</v>
      </c>
      <c r="C34" s="65">
        <f>C6</f>
        <v>574.82100000000003</v>
      </c>
      <c r="D34" s="65">
        <f>D6</f>
        <v>752.07659999999998</v>
      </c>
      <c r="E34" s="64">
        <f t="shared" si="10"/>
        <v>1326.8976</v>
      </c>
      <c r="F34" s="65">
        <f>F30</f>
        <v>508.13340000000005</v>
      </c>
      <c r="G34" s="65">
        <f>676*102/100</f>
        <v>689.52</v>
      </c>
      <c r="H34" s="64">
        <f t="shared" si="11"/>
        <v>1197.6534000000001</v>
      </c>
      <c r="I34" s="65">
        <v>0</v>
      </c>
      <c r="J34" s="65">
        <v>0</v>
      </c>
      <c r="K34" s="64">
        <f t="shared" si="12"/>
        <v>0</v>
      </c>
      <c r="L34" s="64">
        <f>L9</f>
        <v>1211.1684</v>
      </c>
      <c r="M34" s="64">
        <f t="shared" si="13"/>
        <v>1211.1684</v>
      </c>
      <c r="N34" s="64">
        <f t="shared" si="14"/>
        <v>3735.7194</v>
      </c>
      <c r="O34" s="45"/>
    </row>
    <row r="35" spans="1:15" ht="14.1" customHeight="1" x14ac:dyDescent="0.2">
      <c r="A35" s="112" t="s">
        <v>123</v>
      </c>
      <c r="B35" s="48" t="s">
        <v>119</v>
      </c>
      <c r="C35" s="64">
        <f>C5</f>
        <v>1326.8976</v>
      </c>
      <c r="D35" s="65">
        <v>0</v>
      </c>
      <c r="E35" s="64">
        <f t="shared" si="10"/>
        <v>1326.8976</v>
      </c>
      <c r="F35" s="65">
        <f>F29</f>
        <v>835.38</v>
      </c>
      <c r="G35" s="65">
        <f>265.31*102/100</f>
        <v>270.61619999999999</v>
      </c>
      <c r="H35" s="64">
        <f t="shared" si="11"/>
        <v>1105.9962</v>
      </c>
      <c r="I35" s="65">
        <f>I29</f>
        <v>337.59960000000001</v>
      </c>
      <c r="J35" s="65">
        <f>590.95*102/100</f>
        <v>602.76900000000001</v>
      </c>
      <c r="K35" s="64">
        <f t="shared" si="12"/>
        <v>940.36860000000001</v>
      </c>
      <c r="L35" s="65">
        <f>L11</f>
        <v>890.64359999999999</v>
      </c>
      <c r="M35" s="64">
        <f t="shared" si="13"/>
        <v>890.64359999999999</v>
      </c>
      <c r="N35" s="64">
        <f t="shared" si="14"/>
        <v>4263.9059999999999</v>
      </c>
      <c r="O35" s="45"/>
    </row>
    <row r="36" spans="1:15" ht="14.1" customHeight="1" x14ac:dyDescent="0.2">
      <c r="A36" s="113"/>
      <c r="B36" s="48" t="s">
        <v>120</v>
      </c>
      <c r="C36" s="65">
        <f>C6</f>
        <v>574.82100000000003</v>
      </c>
      <c r="D36" s="65">
        <f>D6</f>
        <v>752.07659999999998</v>
      </c>
      <c r="E36" s="64">
        <f t="shared" si="10"/>
        <v>1326.8976</v>
      </c>
      <c r="F36" s="65">
        <f>F30</f>
        <v>508.13340000000005</v>
      </c>
      <c r="G36" s="65">
        <f>586.14*102/100</f>
        <v>597.86279999999999</v>
      </c>
      <c r="H36" s="64">
        <f t="shared" si="11"/>
        <v>1105.9962</v>
      </c>
      <c r="I36" s="65">
        <v>0</v>
      </c>
      <c r="J36" s="65">
        <v>0</v>
      </c>
      <c r="K36" s="64">
        <f t="shared" si="12"/>
        <v>0</v>
      </c>
      <c r="L36" s="65">
        <f>L11</f>
        <v>890.64359999999999</v>
      </c>
      <c r="M36" s="64">
        <f t="shared" si="13"/>
        <v>890.64359999999999</v>
      </c>
      <c r="N36" s="64">
        <f t="shared" si="14"/>
        <v>3323.5374000000002</v>
      </c>
      <c r="O36" s="45"/>
    </row>
    <row r="37" spans="1:15" ht="14.1" customHeight="1" x14ac:dyDescent="0.2">
      <c r="A37" s="117" t="s">
        <v>128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9"/>
      <c r="O37" s="45"/>
    </row>
    <row r="38" spans="1:15" ht="14.1" customHeight="1" x14ac:dyDescent="0.2">
      <c r="A38" s="112" t="s">
        <v>159</v>
      </c>
      <c r="B38" s="48" t="s">
        <v>119</v>
      </c>
      <c r="C38" s="64">
        <f>C5</f>
        <v>1326.8976</v>
      </c>
      <c r="D38" s="65">
        <v>0</v>
      </c>
      <c r="E38" s="64">
        <f>C38+D38</f>
        <v>1326.8976</v>
      </c>
      <c r="F38" s="65">
        <f>F29</f>
        <v>835.38</v>
      </c>
      <c r="G38" s="65">
        <f>105.43*102/100</f>
        <v>107.5386</v>
      </c>
      <c r="H38" s="65">
        <f>F38+G38</f>
        <v>942.91859999999997</v>
      </c>
      <c r="I38" s="65">
        <f>I29</f>
        <v>337.59960000000001</v>
      </c>
      <c r="J38" s="65">
        <f>163.86*102/100</f>
        <v>167.13720000000001</v>
      </c>
      <c r="K38" s="65">
        <f>I38+J38</f>
        <v>504.73680000000002</v>
      </c>
      <c r="L38" s="65">
        <f>L24</f>
        <v>567.34440000000006</v>
      </c>
      <c r="M38" s="65">
        <f>L38</f>
        <v>567.34440000000006</v>
      </c>
      <c r="N38" s="64">
        <f>M38+K38+H38+E38</f>
        <v>3341.8973999999998</v>
      </c>
      <c r="O38" s="45"/>
    </row>
    <row r="39" spans="1:15" ht="14.1" customHeight="1" x14ac:dyDescent="0.2">
      <c r="A39" s="113"/>
      <c r="B39" s="48" t="s">
        <v>120</v>
      </c>
      <c r="C39" s="65">
        <f>C6</f>
        <v>574.82100000000003</v>
      </c>
      <c r="D39" s="65">
        <f>D6</f>
        <v>752.07659999999998</v>
      </c>
      <c r="E39" s="64">
        <f t="shared" ref="E39:E41" si="15">C39+D39</f>
        <v>1326.8976</v>
      </c>
      <c r="F39" s="65">
        <f>F30</f>
        <v>508.13340000000005</v>
      </c>
      <c r="G39" s="65">
        <f>426.26*102/100</f>
        <v>434.78519999999997</v>
      </c>
      <c r="H39" s="65">
        <f t="shared" ref="H39:H41" si="16">F39+G39</f>
        <v>942.91859999999997</v>
      </c>
      <c r="I39" s="65">
        <v>0</v>
      </c>
      <c r="J39" s="65">
        <v>0</v>
      </c>
      <c r="K39" s="65">
        <f t="shared" ref="K39:K41" si="17">I39+J39</f>
        <v>0</v>
      </c>
      <c r="L39" s="65">
        <f>L24</f>
        <v>567.34440000000006</v>
      </c>
      <c r="M39" s="65">
        <f t="shared" ref="M39:M41" si="18">L39</f>
        <v>567.34440000000006</v>
      </c>
      <c r="N39" s="64">
        <f t="shared" ref="N39:N41" si="19">M39+K39+H39+E39</f>
        <v>2837.1606000000002</v>
      </c>
      <c r="O39" s="45"/>
    </row>
    <row r="40" spans="1:15" ht="14.1" customHeight="1" x14ac:dyDescent="0.2">
      <c r="A40" s="112" t="s">
        <v>126</v>
      </c>
      <c r="B40" s="48" t="s">
        <v>119</v>
      </c>
      <c r="C40" s="64">
        <f>C5</f>
        <v>1326.8976</v>
      </c>
      <c r="D40" s="65">
        <v>0</v>
      </c>
      <c r="E40" s="64">
        <f t="shared" si="15"/>
        <v>1326.8976</v>
      </c>
      <c r="F40" s="65">
        <f>F29</f>
        <v>835.38</v>
      </c>
      <c r="G40" s="65">
        <v>0</v>
      </c>
      <c r="H40" s="65">
        <f t="shared" si="16"/>
        <v>835.38</v>
      </c>
      <c r="I40" s="65">
        <f>I29</f>
        <v>337.59960000000001</v>
      </c>
      <c r="J40" s="65">
        <f>36.09*102/100</f>
        <v>36.811800000000005</v>
      </c>
      <c r="K40" s="65">
        <f>I40+J40</f>
        <v>374.41140000000001</v>
      </c>
      <c r="L40" s="65">
        <f>L26</f>
        <v>530.22660000000008</v>
      </c>
      <c r="M40" s="65">
        <f t="shared" si="18"/>
        <v>530.22660000000008</v>
      </c>
      <c r="N40" s="64">
        <f t="shared" si="19"/>
        <v>3066.9156000000003</v>
      </c>
      <c r="O40" s="45"/>
    </row>
    <row r="41" spans="1:15" ht="14.1" customHeight="1" x14ac:dyDescent="0.2">
      <c r="A41" s="113"/>
      <c r="B41" s="48" t="s">
        <v>120</v>
      </c>
      <c r="C41" s="65">
        <f>C6</f>
        <v>574.82100000000003</v>
      </c>
      <c r="D41" s="65">
        <f>D6</f>
        <v>752.07659999999998</v>
      </c>
      <c r="E41" s="64">
        <f t="shared" si="15"/>
        <v>1326.8976</v>
      </c>
      <c r="F41" s="65">
        <f>F30</f>
        <v>508.13340000000005</v>
      </c>
      <c r="G41" s="65">
        <f>320.83*102/100</f>
        <v>327.2466</v>
      </c>
      <c r="H41" s="65">
        <f t="shared" si="16"/>
        <v>835.38000000000011</v>
      </c>
      <c r="I41" s="65">
        <v>0</v>
      </c>
      <c r="J41" s="65">
        <v>0</v>
      </c>
      <c r="K41" s="65">
        <f t="shared" si="17"/>
        <v>0</v>
      </c>
      <c r="L41" s="65">
        <f>L26</f>
        <v>530.22660000000008</v>
      </c>
      <c r="M41" s="65">
        <f t="shared" si="18"/>
        <v>530.22660000000008</v>
      </c>
      <c r="N41" s="64">
        <f t="shared" si="19"/>
        <v>2692.5042000000003</v>
      </c>
      <c r="O41" s="45"/>
    </row>
    <row r="42" spans="1:15" ht="14.1" customHeight="1" x14ac:dyDescent="0.2">
      <c r="A42" s="114" t="s">
        <v>129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6"/>
      <c r="O42" s="45"/>
    </row>
    <row r="43" spans="1:15" ht="14.1" customHeight="1" x14ac:dyDescent="0.25">
      <c r="A43" s="50" t="s">
        <v>130</v>
      </c>
      <c r="B43" s="66"/>
      <c r="C43" s="51" t="s">
        <v>48</v>
      </c>
      <c r="D43" s="52" t="s">
        <v>131</v>
      </c>
      <c r="E43" s="52" t="s">
        <v>132</v>
      </c>
      <c r="F43" s="53" t="s">
        <v>133</v>
      </c>
      <c r="G43" s="53" t="s">
        <v>134</v>
      </c>
      <c r="H43" s="53" t="s">
        <v>135</v>
      </c>
      <c r="I43" s="66"/>
      <c r="J43" s="66"/>
      <c r="K43" s="66"/>
      <c r="L43" s="66"/>
      <c r="M43" s="66"/>
      <c r="N43" s="66"/>
      <c r="O43" s="45"/>
    </row>
    <row r="44" spans="1:15" ht="14.1" customHeight="1" x14ac:dyDescent="0.25">
      <c r="A44" s="54" t="s">
        <v>136</v>
      </c>
      <c r="B44" s="62"/>
      <c r="C44" s="55" t="s">
        <v>2</v>
      </c>
      <c r="D44" s="65">
        <f>96.65*102/100</f>
        <v>98.583000000000013</v>
      </c>
      <c r="E44" s="65">
        <f>205.03*102/100</f>
        <v>209.13060000000002</v>
      </c>
      <c r="F44" s="65">
        <f>410.05*102/100</f>
        <v>418.25099999999998</v>
      </c>
      <c r="G44" s="65">
        <f>615.08*102/100</f>
        <v>627.38160000000005</v>
      </c>
      <c r="H44" s="75">
        <f>820.1*102/100</f>
        <v>836.50199999999995</v>
      </c>
      <c r="I44" s="62"/>
      <c r="J44" s="62"/>
      <c r="K44" s="62"/>
      <c r="L44" s="62"/>
      <c r="M44" s="62"/>
      <c r="N44" s="62"/>
      <c r="O44" s="45"/>
    </row>
    <row r="45" spans="1:15" ht="14.1" customHeight="1" x14ac:dyDescent="0.25">
      <c r="A45" s="54" t="s">
        <v>137</v>
      </c>
      <c r="B45" s="62"/>
      <c r="C45" s="55" t="s">
        <v>2</v>
      </c>
      <c r="D45" s="65">
        <f>80.56*102/100</f>
        <v>82.171200000000013</v>
      </c>
      <c r="E45" s="65">
        <f>170.87*102/100</f>
        <v>174.28740000000002</v>
      </c>
      <c r="F45" s="65">
        <f>341.7*102/100</f>
        <v>348.53399999999999</v>
      </c>
      <c r="G45" s="65">
        <f>512.59*102/100</f>
        <v>522.84180000000003</v>
      </c>
      <c r="H45" s="65">
        <f>683.44*102/100</f>
        <v>697.10880000000009</v>
      </c>
      <c r="I45" s="62"/>
      <c r="J45" s="62"/>
      <c r="K45" s="62"/>
      <c r="L45" s="62"/>
      <c r="M45" s="62"/>
      <c r="N45" s="62"/>
      <c r="O45" s="45"/>
    </row>
    <row r="46" spans="1:15" ht="14.1" customHeight="1" x14ac:dyDescent="0.25">
      <c r="A46" s="54" t="s">
        <v>138</v>
      </c>
      <c r="B46" s="62"/>
      <c r="C46" s="55" t="s">
        <v>3</v>
      </c>
      <c r="D46" s="65">
        <f>62.83*102/100</f>
        <v>64.086600000000004</v>
      </c>
      <c r="E46" s="65">
        <f>133.32*102/100</f>
        <v>135.9864</v>
      </c>
      <c r="F46" s="65">
        <f>266.53*102/100</f>
        <v>271.86059999999998</v>
      </c>
      <c r="G46" s="65">
        <f>399.81*102/100</f>
        <v>407.80620000000005</v>
      </c>
      <c r="H46" s="65">
        <f>533.04*102/100</f>
        <v>543.70079999999996</v>
      </c>
      <c r="I46" s="62"/>
      <c r="J46" s="62"/>
      <c r="K46" s="62"/>
      <c r="L46" s="62"/>
      <c r="M46" s="62"/>
      <c r="N46" s="62"/>
      <c r="O46" s="45"/>
    </row>
  </sheetData>
  <sheetProtection algorithmName="SHA-512" hashValue="KceCicNymcFD6pRtGqH/jywcd/gSXPPADxMUrDrJLBIxVWXgThKAk949CSsXqg4x04UYKU6Cgf1qDRSgOZ5Siw==" saltValue="d61OsOYpQWfejCIKtKVR9Q==" spinCount="100000" sheet="1" formatCells="0"/>
  <mergeCells count="27">
    <mergeCell ref="A1:N1"/>
    <mergeCell ref="A2:A3"/>
    <mergeCell ref="C2:E2"/>
    <mergeCell ref="F2:H2"/>
    <mergeCell ref="I2:K2"/>
    <mergeCell ref="L2:M2"/>
    <mergeCell ref="A26:A27"/>
    <mergeCell ref="A5:A6"/>
    <mergeCell ref="A7:A8"/>
    <mergeCell ref="A9:A10"/>
    <mergeCell ref="A11:A12"/>
    <mergeCell ref="A13:N13"/>
    <mergeCell ref="A14:A15"/>
    <mergeCell ref="A16:A17"/>
    <mergeCell ref="A18:A19"/>
    <mergeCell ref="A20:A21"/>
    <mergeCell ref="A22:A23"/>
    <mergeCell ref="A24:A25"/>
    <mergeCell ref="A38:A39"/>
    <mergeCell ref="A40:A41"/>
    <mergeCell ref="A42:N42"/>
    <mergeCell ref="A28:N28"/>
    <mergeCell ref="A29:A30"/>
    <mergeCell ref="A31:A32"/>
    <mergeCell ref="A33:A34"/>
    <mergeCell ref="A35:A36"/>
    <mergeCell ref="A37:N37"/>
  </mergeCells>
  <pageMargins left="0.7" right="0.7" top="0.75" bottom="0.75" header="0.3" footer="0.3"/>
  <pageSetup paperSize="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PDI Funcionario e Interino</vt:lpstr>
      <vt:lpstr>PDI Contratado LOU-LOSU</vt:lpstr>
      <vt:lpstr>Plazas Vinculadas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2025-01-07T12:28:10Z</dcterms:modified>
</cp:coreProperties>
</file>