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720"/>
  </bookViews>
  <sheets>
    <sheet name="PDI Funcionario e Interino" sheetId="9" r:id="rId1"/>
    <sheet name="PDI Contratado LOU" sheetId="6" r:id="rId2"/>
    <sheet name="Plazas Vinculadas" sheetId="10" r:id="rId3"/>
  </sheets>
  <calcPr calcId="145621"/>
</workbook>
</file>

<file path=xl/calcChain.xml><?xml version="1.0" encoding="utf-8"?>
<calcChain xmlns="http://schemas.openxmlformats.org/spreadsheetml/2006/main">
  <c r="L49" i="9" l="1"/>
  <c r="L50" i="9"/>
  <c r="L51" i="9" s="1"/>
  <c r="L48" i="9"/>
  <c r="L47" i="9"/>
  <c r="K40" i="10" l="1"/>
  <c r="K38" i="10"/>
  <c r="C22" i="6"/>
  <c r="D27" i="6"/>
  <c r="D10" i="6"/>
  <c r="D9" i="6" s="1"/>
  <c r="F22" i="9"/>
  <c r="F27" i="9" s="1"/>
  <c r="R39" i="9"/>
  <c r="R40" i="9"/>
  <c r="R41" i="9"/>
  <c r="Q39" i="9"/>
  <c r="Q40" i="9"/>
  <c r="Q41" i="9"/>
  <c r="P39" i="9"/>
  <c r="P40" i="9"/>
  <c r="P41" i="9"/>
  <c r="O39" i="9"/>
  <c r="O40" i="9"/>
  <c r="O41" i="9"/>
  <c r="N39" i="9"/>
  <c r="N40" i="9"/>
  <c r="N41" i="9"/>
  <c r="R37" i="9"/>
  <c r="R36" i="9"/>
  <c r="Q37" i="9"/>
  <c r="Q36" i="9"/>
  <c r="P37" i="9"/>
  <c r="O37" i="9"/>
  <c r="O36" i="9"/>
  <c r="N37" i="9"/>
  <c r="N36" i="9"/>
  <c r="D41" i="10"/>
  <c r="D39" i="10"/>
  <c r="D36" i="10"/>
  <c r="D34" i="10"/>
  <c r="D32" i="10"/>
  <c r="D30" i="10"/>
  <c r="D27" i="10"/>
  <c r="D25" i="10"/>
  <c r="D23" i="10"/>
  <c r="D21" i="10"/>
  <c r="D19" i="10"/>
  <c r="D17" i="10"/>
  <c r="D15" i="10"/>
  <c r="D12" i="10"/>
  <c r="D10" i="10"/>
  <c r="D8" i="10"/>
  <c r="C41" i="10"/>
  <c r="C39" i="10"/>
  <c r="C36" i="10"/>
  <c r="C34" i="10"/>
  <c r="E34" i="10" s="1"/>
  <c r="C32" i="10"/>
  <c r="C30" i="10"/>
  <c r="C27" i="10"/>
  <c r="E27" i="10" s="1"/>
  <c r="C25" i="10"/>
  <c r="E25" i="10" s="1"/>
  <c r="C23" i="10"/>
  <c r="C21" i="10"/>
  <c r="C19" i="10"/>
  <c r="E19" i="10" s="1"/>
  <c r="C17" i="10"/>
  <c r="C15" i="10"/>
  <c r="C12" i="10"/>
  <c r="C10" i="10"/>
  <c r="E10" i="10" s="1"/>
  <c r="C8" i="10"/>
  <c r="E8" i="10" s="1"/>
  <c r="H8" i="10"/>
  <c r="M8" i="10"/>
  <c r="C40" i="10"/>
  <c r="C38" i="10"/>
  <c r="E38" i="10" s="1"/>
  <c r="C35" i="10"/>
  <c r="E35" i="10" s="1"/>
  <c r="C33" i="10"/>
  <c r="C31" i="10"/>
  <c r="C29" i="10"/>
  <c r="E29" i="10" s="1"/>
  <c r="N29" i="10" s="1"/>
  <c r="C26" i="10"/>
  <c r="E26" i="10" s="1"/>
  <c r="C24" i="10"/>
  <c r="E24" i="10" s="1"/>
  <c r="C22" i="10"/>
  <c r="C20" i="10"/>
  <c r="E20" i="10" s="1"/>
  <c r="C18" i="10"/>
  <c r="C16" i="10"/>
  <c r="C14" i="10"/>
  <c r="E14" i="10" s="1"/>
  <c r="C11" i="10"/>
  <c r="E11" i="10" s="1"/>
  <c r="C9" i="10"/>
  <c r="C7" i="10"/>
  <c r="B41" i="6"/>
  <c r="E39" i="10"/>
  <c r="H39" i="10"/>
  <c r="M39" i="10"/>
  <c r="E40" i="10"/>
  <c r="H40" i="10"/>
  <c r="M40" i="10"/>
  <c r="E41" i="10"/>
  <c r="H41" i="10"/>
  <c r="M41" i="10"/>
  <c r="H38" i="10"/>
  <c r="M38" i="10"/>
  <c r="E30" i="10"/>
  <c r="H30" i="10"/>
  <c r="M30" i="10"/>
  <c r="E31" i="10"/>
  <c r="H31" i="10"/>
  <c r="K31" i="10"/>
  <c r="M31" i="10"/>
  <c r="E32" i="10"/>
  <c r="H32" i="10"/>
  <c r="M32" i="10"/>
  <c r="E33" i="10"/>
  <c r="H33" i="10"/>
  <c r="K33" i="10"/>
  <c r="M33" i="10"/>
  <c r="H34" i="10"/>
  <c r="M34" i="10"/>
  <c r="H35" i="10"/>
  <c r="K35" i="10"/>
  <c r="M35" i="10"/>
  <c r="E36" i="10"/>
  <c r="H36" i="10"/>
  <c r="M36" i="10"/>
  <c r="H29" i="10"/>
  <c r="K29" i="10"/>
  <c r="M29" i="10"/>
  <c r="E15" i="10"/>
  <c r="H15" i="10"/>
  <c r="M15" i="10"/>
  <c r="E16" i="10"/>
  <c r="H16" i="10"/>
  <c r="K16" i="10"/>
  <c r="M16" i="10"/>
  <c r="H17" i="10"/>
  <c r="M17" i="10"/>
  <c r="E18" i="10"/>
  <c r="H18" i="10"/>
  <c r="M18" i="10"/>
  <c r="K18" i="10"/>
  <c r="H19" i="10"/>
  <c r="M19" i="10"/>
  <c r="H20" i="10"/>
  <c r="M20" i="10"/>
  <c r="K20" i="10"/>
  <c r="E21" i="10"/>
  <c r="H21" i="10"/>
  <c r="M21" i="10"/>
  <c r="E22" i="10"/>
  <c r="H22" i="10"/>
  <c r="M22" i="10"/>
  <c r="K22" i="10"/>
  <c r="E23" i="10"/>
  <c r="H23" i="10"/>
  <c r="M23" i="10"/>
  <c r="H24" i="10"/>
  <c r="K24" i="10"/>
  <c r="M24" i="10"/>
  <c r="H25" i="10"/>
  <c r="M25" i="10"/>
  <c r="H26" i="10"/>
  <c r="M26" i="10"/>
  <c r="K26" i="10"/>
  <c r="H27" i="10"/>
  <c r="M27" i="10"/>
  <c r="H14" i="10"/>
  <c r="K14" i="10"/>
  <c r="M14" i="10"/>
  <c r="E6" i="10"/>
  <c r="H6" i="10"/>
  <c r="E7" i="10"/>
  <c r="H7" i="10"/>
  <c r="K7" i="10"/>
  <c r="M7" i="10"/>
  <c r="N7" i="10"/>
  <c r="E9" i="10"/>
  <c r="H9" i="10"/>
  <c r="K9" i="10"/>
  <c r="M9" i="10"/>
  <c r="H10" i="10"/>
  <c r="M10" i="10"/>
  <c r="H11" i="10"/>
  <c r="K11" i="10"/>
  <c r="M11" i="10"/>
  <c r="E12" i="10"/>
  <c r="H12" i="10"/>
  <c r="M12" i="10"/>
  <c r="E5" i="10"/>
  <c r="N5" i="10" s="1"/>
  <c r="H5" i="10"/>
  <c r="K5" i="10"/>
  <c r="K39" i="10"/>
  <c r="K41" i="10"/>
  <c r="K30" i="10"/>
  <c r="N30" i="10" s="1"/>
  <c r="K32" i="10"/>
  <c r="K34" i="10"/>
  <c r="K36" i="10"/>
  <c r="K15" i="10"/>
  <c r="K17" i="10"/>
  <c r="K19" i="10"/>
  <c r="N19" i="10" s="1"/>
  <c r="K21" i="10"/>
  <c r="K23" i="10"/>
  <c r="K25" i="10"/>
  <c r="K27" i="10"/>
  <c r="N27" i="10" s="1"/>
  <c r="K6" i="10"/>
  <c r="K8" i="10"/>
  <c r="K10" i="10"/>
  <c r="K12" i="10"/>
  <c r="G11" i="6"/>
  <c r="D8" i="6"/>
  <c r="G8" i="6" s="1"/>
  <c r="G14" i="6"/>
  <c r="G51" i="9"/>
  <c r="G50" i="9"/>
  <c r="G49" i="9"/>
  <c r="G48" i="9"/>
  <c r="G47" i="9"/>
  <c r="G46" i="9"/>
  <c r="G45" i="9"/>
  <c r="G44" i="9"/>
  <c r="C9" i="6"/>
  <c r="H14" i="9"/>
  <c r="H17" i="9" s="1"/>
  <c r="H8" i="9"/>
  <c r="H11" i="9"/>
  <c r="H2" i="9"/>
  <c r="H4" i="9" s="1"/>
  <c r="C23" i="9"/>
  <c r="L6" i="9"/>
  <c r="L5" i="9"/>
  <c r="L4" i="9"/>
  <c r="L3" i="9"/>
  <c r="I6" i="9"/>
  <c r="I5" i="9"/>
  <c r="I4" i="9"/>
  <c r="I3" i="9"/>
  <c r="H12" i="9"/>
  <c r="G6" i="9"/>
  <c r="D6" i="9"/>
  <c r="G5" i="9"/>
  <c r="G4" i="9"/>
  <c r="G3" i="9"/>
  <c r="J3" i="9" s="1"/>
  <c r="D3" i="9"/>
  <c r="E18" i="9"/>
  <c r="E17" i="9"/>
  <c r="E16" i="9"/>
  <c r="E12" i="9"/>
  <c r="E11" i="9"/>
  <c r="E10" i="9"/>
  <c r="E6" i="9"/>
  <c r="E5" i="9"/>
  <c r="E4" i="9"/>
  <c r="C4" i="9"/>
  <c r="F4" i="9" s="1"/>
  <c r="K4" i="9" s="1"/>
  <c r="D4" i="9"/>
  <c r="D18" i="9"/>
  <c r="D17" i="9"/>
  <c r="D12" i="9"/>
  <c r="D11" i="9"/>
  <c r="C6" i="9"/>
  <c r="D5" i="9"/>
  <c r="F5" i="9" s="1"/>
  <c r="C5" i="9"/>
  <c r="C3" i="9"/>
  <c r="D16" i="9"/>
  <c r="D10" i="9"/>
  <c r="J4" i="9"/>
  <c r="E15" i="9"/>
  <c r="E9" i="9"/>
  <c r="E3" i="9"/>
  <c r="D15" i="9"/>
  <c r="D9" i="9"/>
  <c r="C27" i="9"/>
  <c r="F26" i="9"/>
  <c r="C26" i="9"/>
  <c r="C25" i="9"/>
  <c r="F24" i="9"/>
  <c r="C24" i="9"/>
  <c r="L14" i="9"/>
  <c r="L16" i="9" s="1"/>
  <c r="L8" i="9"/>
  <c r="L10" i="9" s="1"/>
  <c r="I14" i="9"/>
  <c r="I15" i="9"/>
  <c r="I8" i="9"/>
  <c r="I12" i="9" s="1"/>
  <c r="G14" i="9"/>
  <c r="G18" i="9" s="1"/>
  <c r="J18" i="9" s="1"/>
  <c r="G8" i="9"/>
  <c r="G10" i="9"/>
  <c r="J10" i="9" s="1"/>
  <c r="C14" i="9"/>
  <c r="C17" i="9" s="1"/>
  <c r="C8" i="9"/>
  <c r="F8" i="9" s="1"/>
  <c r="J2" i="9"/>
  <c r="F2" i="9"/>
  <c r="K2" i="9" s="1"/>
  <c r="G15" i="9"/>
  <c r="J15" i="9" s="1"/>
  <c r="F14" i="9"/>
  <c r="C18" i="9"/>
  <c r="C16" i="9"/>
  <c r="F16" i="9"/>
  <c r="C21" i="6"/>
  <c r="D20" i="6"/>
  <c r="G20" i="6" s="1"/>
  <c r="C20" i="6"/>
  <c r="F20" i="6" s="1"/>
  <c r="C19" i="6"/>
  <c r="C18" i="6"/>
  <c r="D17" i="6"/>
  <c r="G17" i="6" s="1"/>
  <c r="C17" i="6"/>
  <c r="D16" i="6"/>
  <c r="G16" i="6" s="1"/>
  <c r="C16" i="6"/>
  <c r="D13" i="6"/>
  <c r="C13" i="6"/>
  <c r="D12" i="6"/>
  <c r="C12" i="6"/>
  <c r="C11" i="6"/>
  <c r="F11" i="6" s="1"/>
  <c r="C6" i="6"/>
  <c r="C7" i="6"/>
  <c r="C8" i="6"/>
  <c r="C15" i="9"/>
  <c r="C10" i="9"/>
  <c r="F10" i="9"/>
  <c r="L12" i="9"/>
  <c r="H6" i="9"/>
  <c r="C15" i="6"/>
  <c r="F15" i="6"/>
  <c r="L9" i="9"/>
  <c r="F14" i="6"/>
  <c r="L11" i="9"/>
  <c r="F18" i="9"/>
  <c r="H9" i="9"/>
  <c r="H10" i="9"/>
  <c r="I17" i="9"/>
  <c r="I18" i="9"/>
  <c r="I16" i="9"/>
  <c r="J6" i="9"/>
  <c r="F6" i="9"/>
  <c r="C11" i="9"/>
  <c r="C12" i="9"/>
  <c r="F12" i="9" s="1"/>
  <c r="J8" i="9"/>
  <c r="L15" i="9"/>
  <c r="L17" i="9"/>
  <c r="G9" i="9"/>
  <c r="J9" i="9" s="1"/>
  <c r="G12" i="9"/>
  <c r="J12" i="9" s="1"/>
  <c r="G11" i="9"/>
  <c r="N21" i="10"/>
  <c r="N16" i="10"/>
  <c r="N33" i="10"/>
  <c r="N31" i="10"/>
  <c r="G15" i="6"/>
  <c r="G9" i="6" l="1"/>
  <c r="F9" i="6"/>
  <c r="L18" i="9"/>
  <c r="F17" i="9"/>
  <c r="D7" i="6"/>
  <c r="G7" i="6" s="1"/>
  <c r="G10" i="6"/>
  <c r="N32" i="10"/>
  <c r="N20" i="10"/>
  <c r="N39" i="10"/>
  <c r="K12" i="9"/>
  <c r="K6" i="9"/>
  <c r="F17" i="6"/>
  <c r="D19" i="6"/>
  <c r="D21" i="6"/>
  <c r="G21" i="6" s="1"/>
  <c r="F11" i="9"/>
  <c r="J5" i="9"/>
  <c r="D18" i="6"/>
  <c r="G18" i="6" s="1"/>
  <c r="F10" i="6"/>
  <c r="N15" i="10"/>
  <c r="N12" i="10"/>
  <c r="N9" i="10"/>
  <c r="N6" i="10"/>
  <c r="N26" i="10"/>
  <c r="N23" i="10"/>
  <c r="N40" i="10"/>
  <c r="N35" i="10"/>
  <c r="C9" i="9"/>
  <c r="F9" i="9" s="1"/>
  <c r="K9" i="9" s="1"/>
  <c r="D6" i="6"/>
  <c r="G6" i="6" s="1"/>
  <c r="N36" i="10"/>
  <c r="N41" i="10"/>
  <c r="N11" i="10"/>
  <c r="N8" i="10"/>
  <c r="N25" i="10"/>
  <c r="E17" i="10"/>
  <c r="N17" i="10" s="1"/>
  <c r="K8" i="9"/>
  <c r="N14" i="10"/>
  <c r="N34" i="10"/>
  <c r="N38" i="10"/>
  <c r="N10" i="10"/>
  <c r="N24" i="10"/>
  <c r="N18" i="10"/>
  <c r="N22" i="10"/>
  <c r="K10" i="9"/>
  <c r="J11" i="9"/>
  <c r="K11" i="9" s="1"/>
  <c r="G16" i="9"/>
  <c r="J16" i="9" s="1"/>
  <c r="G17" i="9"/>
  <c r="J17" i="9" s="1"/>
  <c r="K17" i="9" s="1"/>
  <c r="F18" i="6"/>
  <c r="I11" i="9"/>
  <c r="I9" i="9"/>
  <c r="H18" i="9"/>
  <c r="K18" i="9" s="1"/>
  <c r="F16" i="6"/>
  <c r="H15" i="9"/>
  <c r="F15" i="9" s="1"/>
  <c r="K15" i="9" s="1"/>
  <c r="H16" i="9"/>
  <c r="I10" i="9"/>
  <c r="F23" i="9"/>
  <c r="F25" i="9"/>
  <c r="J14" i="9"/>
  <c r="K14" i="9" s="1"/>
  <c r="H3" i="9"/>
  <c r="F3" i="9" s="1"/>
  <c r="K3" i="9" s="1"/>
  <c r="H5" i="9"/>
  <c r="K5" i="9" s="1"/>
  <c r="K16" i="9" l="1"/>
  <c r="F21" i="6"/>
  <c r="C26" i="6"/>
  <c r="E8" i="6"/>
  <c r="E7" i="6"/>
  <c r="E12" i="6" s="1"/>
  <c r="C25" i="6"/>
  <c r="F6" i="6"/>
  <c r="F19" i="6"/>
  <c r="G19" i="6"/>
  <c r="F7" i="6"/>
  <c r="E13" i="6" l="1"/>
  <c r="F8" i="6"/>
  <c r="G12" i="6"/>
  <c r="F12" i="6"/>
  <c r="G13" i="6" l="1"/>
  <c r="F13" i="6"/>
</calcChain>
</file>

<file path=xl/sharedStrings.xml><?xml version="1.0" encoding="utf-8"?>
<sst xmlns="http://schemas.openxmlformats.org/spreadsheetml/2006/main" count="326" uniqueCount="161">
  <si>
    <t>DEA</t>
  </si>
  <si>
    <t>Secretario de Departamento</t>
  </si>
  <si>
    <t>A1</t>
  </si>
  <si>
    <t>A2</t>
  </si>
  <si>
    <t>B</t>
  </si>
  <si>
    <t>C1</t>
  </si>
  <si>
    <t>C2</t>
  </si>
  <si>
    <t>CUERPO</t>
  </si>
  <si>
    <t>SUELDO</t>
  </si>
  <si>
    <t>TOTAL MES</t>
  </si>
  <si>
    <t>TRIENIOS</t>
  </si>
  <si>
    <t>T.C.</t>
  </si>
  <si>
    <t>NIVEL 29</t>
  </si>
  <si>
    <t>NIVEL 27</t>
  </si>
  <si>
    <t>NIVEL 26</t>
  </si>
  <si>
    <t>MENSUAL</t>
  </si>
  <si>
    <t>RESID. POR TRIENIO</t>
  </si>
  <si>
    <t>PASIVOS</t>
  </si>
  <si>
    <t>MUFACE</t>
  </si>
  <si>
    <t>E</t>
  </si>
  <si>
    <t>65% T.U.</t>
  </si>
  <si>
    <t>65% + 2% T.U.</t>
  </si>
  <si>
    <t>65% + 5% T.U.</t>
  </si>
  <si>
    <t>90% T.U.</t>
  </si>
  <si>
    <t>100% T.U.</t>
  </si>
  <si>
    <t>85% T.U.</t>
  </si>
  <si>
    <t>85% + 2% T.U.</t>
  </si>
  <si>
    <t>85% + 5% T.U.</t>
  </si>
  <si>
    <t>60 % T.U.</t>
  </si>
  <si>
    <t>30 % T.U.</t>
  </si>
  <si>
    <t>25 % T.U.</t>
  </si>
  <si>
    <t>20 % T.U.</t>
  </si>
  <si>
    <t>15 % T.U.</t>
  </si>
  <si>
    <t>10 % T.U.</t>
  </si>
  <si>
    <t>COMPLEMENTO
DESTINO</t>
  </si>
  <si>
    <t>COMPLEMENTO
ESPECÍFICO</t>
  </si>
  <si>
    <t>SUELDO
P. EXTRA</t>
  </si>
  <si>
    <t>P. ADICIONAL</t>
  </si>
  <si>
    <t>TRIENIO
P. EXTRA</t>
  </si>
  <si>
    <t>TOTAL
P. EXTRA</t>
  </si>
  <si>
    <t>TOTAL AÑO</t>
  </si>
  <si>
    <t>TRIENIO</t>
  </si>
  <si>
    <t>QUINQUENIO/
SEXENIO</t>
  </si>
  <si>
    <t>CATEDRÁTICO DE UNIVERSIDAD</t>
  </si>
  <si>
    <t>6 H</t>
  </si>
  <si>
    <t>5 H</t>
  </si>
  <si>
    <t>4 H</t>
  </si>
  <si>
    <t>3 H</t>
  </si>
  <si>
    <t>TITULAR DE UNIVERSIDAD Y</t>
  </si>
  <si>
    <t>CATEDRÁTICO ESC. UNIVERSITARIA</t>
  </si>
  <si>
    <t>TITULAR DE ESCUELA UNIVERSITARIA</t>
  </si>
  <si>
    <t>Horas</t>
  </si>
  <si>
    <t>2 H</t>
  </si>
  <si>
    <t>INDEMNIZACIÓN POR RESIDENCIA</t>
  </si>
  <si>
    <t>GRUPO</t>
  </si>
  <si>
    <t>NORMAL</t>
  </si>
  <si>
    <t>EXTRA</t>
  </si>
  <si>
    <t>IMPORTE</t>
  </si>
  <si>
    <t>CD Director General</t>
  </si>
  <si>
    <t>COEF. REDUCTOR</t>
  </si>
  <si>
    <t>Tiempo completo</t>
  </si>
  <si>
    <t>6 horas</t>
  </si>
  <si>
    <t>5 horas</t>
  </si>
  <si>
    <t>4 horas</t>
  </si>
  <si>
    <t>3 horas</t>
  </si>
  <si>
    <t>2 horas</t>
  </si>
  <si>
    <t>Colaborador (DEA)</t>
  </si>
  <si>
    <t>Categoría</t>
  </si>
  <si>
    <t>Dedicación</t>
  </si>
  <si>
    <t>Sueldo</t>
  </si>
  <si>
    <t>Complemento
Doctorado</t>
  </si>
  <si>
    <t>Total Mes</t>
  </si>
  <si>
    <t>Paga Extra</t>
  </si>
  <si>
    <t>Coeficiente
reductor 2020</t>
  </si>
  <si>
    <t>Profesor Ayudante</t>
  </si>
  <si>
    <t>Profesor Ayudante (DEA)</t>
  </si>
  <si>
    <t>Profesor Ayudante (Doctor)</t>
  </si>
  <si>
    <t>Profesor Ayudante Doctor</t>
  </si>
  <si>
    <t>Profesor Colaborador</t>
  </si>
  <si>
    <t>Profesor Colaborador (Doctor)</t>
  </si>
  <si>
    <t>Profesor Visitante</t>
  </si>
  <si>
    <t>Profesor Visitante Doctor</t>
  </si>
  <si>
    <t>Profesor Interino</t>
  </si>
  <si>
    <t>Profesor Asociado/Interino</t>
  </si>
  <si>
    <t>Profesor Asociado Ciencias de la Salud</t>
  </si>
  <si>
    <t>Doctor</t>
  </si>
  <si>
    <t>Trienios asociados e interinos a tiempo parcial</t>
  </si>
  <si>
    <t>Importe trienio</t>
  </si>
  <si>
    <t>Importe trienio P. Extra</t>
  </si>
  <si>
    <t>Complemento por Doctorado (Profesores Asociados)</t>
  </si>
  <si>
    <t>Complemento por Cargo Académico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</si>
  <si>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</si>
  <si>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</si>
  <si>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</si>
  <si>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</si>
  <si>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</si>
  <si>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</si>
  <si>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</si>
  <si>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</si>
  <si>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Director de Instituto Universitario y de Escuela de Estomatología</t>
  </si>
  <si>
    <t>Coordinador del Curso de Orientación Universitaria</t>
  </si>
  <si>
    <t>3+3</t>
  </si>
  <si>
    <t>INDEMN. RESIDENCIA</t>
  </si>
  <si>
    <t>CEUTA Y MELILLA</t>
  </si>
  <si>
    <t>Complemento autonómico (anual)</t>
  </si>
  <si>
    <t>Grupo</t>
  </si>
  <si>
    <t>Ceuta y Melilla</t>
  </si>
  <si>
    <t>Indemnizacion residencia</t>
  </si>
  <si>
    <t>Importe</t>
  </si>
  <si>
    <t>GRUPO A1</t>
  </si>
  <si>
    <t>Contratado Doctor</t>
  </si>
  <si>
    <t>Colaborador</t>
  </si>
  <si>
    <t>Quinquenio/Sexenio</t>
  </si>
  <si>
    <t>Complemento Autonómico (anual)</t>
  </si>
  <si>
    <t>H.</t>
  </si>
  <si>
    <t>C. DESTINO</t>
  </si>
  <si>
    <t>C. ESPECÍFICO</t>
  </si>
  <si>
    <t>PRODUCTIVIDAD</t>
  </si>
  <si>
    <t>LC.</t>
  </si>
  <si>
    <t>UNIV.</t>
  </si>
  <si>
    <t>SAS</t>
  </si>
  <si>
    <t>TOTAL</t>
  </si>
  <si>
    <t>UNIV</t>
  </si>
  <si>
    <t>CATEDRÁTICO UNIVERSIDAD</t>
  </si>
  <si>
    <t>Jefe Departamento</t>
  </si>
  <si>
    <t>T.C</t>
  </si>
  <si>
    <t>T.P</t>
  </si>
  <si>
    <t>Jefe Servicio</t>
  </si>
  <si>
    <t>Jefe Sección</t>
  </si>
  <si>
    <t>Facultativo Especialista</t>
  </si>
  <si>
    <t>TITULAR DE UNIVERSIDAD - CEU - PROFESOR CONTRATADO DOCTOR</t>
  </si>
  <si>
    <t>Enfermero/a Jefe Bloque</t>
  </si>
  <si>
    <t>Enfermero Superior</t>
  </si>
  <si>
    <t>Enfermero Hospital</t>
  </si>
  <si>
    <t>TITULAR ESCUELA UNIVERSITARIA</t>
  </si>
  <si>
    <t>TITULAR ESCUELA UNIVERSITARIA - ATS - DUE</t>
  </si>
  <si>
    <t>COMPLEMENTO DE CARRERA PROFESIONAL (€/mes). PERSONAL CON PLAZA VINCULADA</t>
  </si>
  <si>
    <t>GRUPO PROFESIONAL</t>
  </si>
  <si>
    <t>N_I</t>
  </si>
  <si>
    <t>N_II</t>
  </si>
  <si>
    <t>N_III</t>
  </si>
  <si>
    <t>N_IV</t>
  </si>
  <si>
    <t>N_V</t>
  </si>
  <si>
    <t>Licenciado Sanitario Especialista</t>
  </si>
  <si>
    <t>Licenciado Sanitario</t>
  </si>
  <si>
    <t>Diplomado Sanitario</t>
  </si>
  <si>
    <t>Profesor Contratado Doctor / Profesor Permanente Laboral e Interino</t>
  </si>
  <si>
    <t>Residencia Tiempos Parciales</t>
  </si>
  <si>
    <t>Residencia Trienios Tiempos parciales</t>
  </si>
  <si>
    <t>Complemento Autonómico (Colaborador Doctor)</t>
  </si>
  <si>
    <t>Complemento Singular
Categoría</t>
  </si>
  <si>
    <t>MES</t>
  </si>
  <si>
    <t>RETRIBUCIONES PROFESORADO CON PLAZAS VINCULADAS EN INSTITUCIONES SANITARIAS 2023 
Ley 31/2022, de 23 de diciembre, de Presupuestos Generales del Estado para el año 2023. (incluye incremento del 2,5% + 0,5% IPCA+ 0,5% PIB)</t>
  </si>
  <si>
    <t>Nº Sexenios</t>
  </si>
  <si>
    <t>Acumulado</t>
  </si>
  <si>
    <t>1º Sexenio</t>
  </si>
  <si>
    <t>2º Sexenio</t>
  </si>
  <si>
    <t>3º Sexenio</t>
  </si>
  <si>
    <t>4º Sexenio</t>
  </si>
  <si>
    <t>5º Sexenio</t>
  </si>
  <si>
    <t>Sexenios Personal Docente Enseñanzas Medias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</si>
</sst>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Verdana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142">
    <xf numFmtId="0" fontId="0" fillId="0" borderId="0" xfId="0"/>
    <xf numFmtId="0" fontId="0" fillId="0" borderId="0" xfId="0" applyProtection="1">
      <protection hidden="1"/>
    </xf>
    <xf numFmtId="0" fontId="4" fillId="0" borderId="3" xfId="0" applyFont="1" applyBorder="1" applyProtection="1">
      <protection hidden="1"/>
    </xf>
    <xf numFmtId="0" fontId="3" fillId="0" borderId="3" xfId="0" applyFont="1" applyBorder="1" applyProtection="1">
      <protection hidden="1"/>
    </xf>
    <xf numFmtId="2" fontId="3" fillId="0" borderId="3" xfId="0" applyNumberFormat="1" applyFont="1" applyBorder="1" applyProtection="1">
      <protection hidden="1"/>
    </xf>
    <xf numFmtId="2" fontId="3" fillId="0" borderId="3" xfId="0" applyNumberFormat="1" applyFont="1" applyBorder="1" applyAlignment="1" applyProtection="1">
      <alignment horizontal="center"/>
      <protection hidden="1"/>
    </xf>
    <xf numFmtId="2" fontId="4" fillId="0" borderId="3" xfId="0" applyNumberFormat="1" applyFont="1" applyBorder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164" fontId="4" fillId="0" borderId="3" xfId="0" applyNumberFormat="1" applyFont="1" applyBorder="1" applyProtection="1">
      <protection hidden="1"/>
    </xf>
    <xf numFmtId="2" fontId="4" fillId="0" borderId="3" xfId="0" applyNumberFormat="1" applyFont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4" fillId="0" borderId="0" xfId="0" applyFont="1" applyProtection="1">
      <protection hidden="1"/>
    </xf>
    <xf numFmtId="4" fontId="4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" xfId="0" applyBorder="1" applyAlignment="1" applyProtection="1">
      <alignment horizontal="right"/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0" fontId="0" fillId="0" borderId="4" xfId="0" applyBorder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Protection="1"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/>
      <protection hidden="1"/>
    </xf>
    <xf numFmtId="4" fontId="4" fillId="0" borderId="3" xfId="1" applyNumberFormat="1" applyFont="1" applyBorder="1" applyAlignment="1" applyProtection="1">
      <alignment horizontal="right" vertical="center"/>
      <protection hidden="1"/>
    </xf>
    <xf numFmtId="4" fontId="7" fillId="0" borderId="3" xfId="0" applyNumberFormat="1" applyFont="1" applyBorder="1" applyAlignment="1" applyProtection="1">
      <alignment horizontal="right"/>
      <protection hidden="1"/>
    </xf>
    <xf numFmtId="0" fontId="7" fillId="0" borderId="3" xfId="0" applyFont="1" applyBorder="1" applyAlignment="1" applyProtection="1">
      <alignment horizontal="right"/>
      <protection hidden="1"/>
    </xf>
    <xf numFmtId="2" fontId="7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3" xfId="1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4" fontId="4" fillId="0" borderId="3" xfId="0" applyNumberFormat="1" applyFont="1" applyBorder="1" applyProtection="1"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4" fontId="0" fillId="0" borderId="0" xfId="0" applyNumberFormat="1" applyProtection="1">
      <protection hidden="1"/>
    </xf>
    <xf numFmtId="0" fontId="11" fillId="0" borderId="0" xfId="2" applyAlignment="1">
      <alignment horizontal="left" vertical="center" wrapText="1"/>
    </xf>
    <xf numFmtId="0" fontId="11" fillId="0" borderId="0" xfId="2" applyAlignment="1">
      <alignment horizontal="left" vertical="center"/>
    </xf>
    <xf numFmtId="0" fontId="9" fillId="0" borderId="13" xfId="2" applyFont="1" applyBorder="1" applyAlignment="1">
      <alignment horizontal="right" vertical="top" wrapText="1" indent="1"/>
    </xf>
    <xf numFmtId="0" fontId="9" fillId="0" borderId="13" xfId="2" applyFont="1" applyBorder="1" applyAlignment="1">
      <alignment horizontal="center" vertical="top" wrapText="1"/>
    </xf>
    <xf numFmtId="0" fontId="11" fillId="0" borderId="0" xfId="2" applyAlignment="1">
      <alignment horizontal="left" wrapText="1"/>
    </xf>
    <xf numFmtId="0" fontId="11" fillId="0" borderId="0" xfId="2" applyAlignment="1">
      <alignment horizontal="left" vertical="top"/>
    </xf>
    <xf numFmtId="0" fontId="9" fillId="0" borderId="13" xfId="2" applyFont="1" applyBorder="1" applyAlignment="1">
      <alignment horizontal="right" vertical="top" wrapText="1"/>
    </xf>
    <xf numFmtId="0" fontId="7" fillId="0" borderId="13" xfId="2" applyFont="1" applyBorder="1" applyAlignment="1">
      <alignment horizontal="right" vertical="top" wrapText="1" indent="1"/>
    </xf>
    <xf numFmtId="4" fontId="11" fillId="0" borderId="0" xfId="2" applyNumberFormat="1" applyAlignment="1">
      <alignment horizontal="left" vertical="top"/>
    </xf>
    <xf numFmtId="0" fontId="9" fillId="0" borderId="14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top" wrapText="1" indent="1"/>
    </xf>
    <xf numFmtId="0" fontId="9" fillId="0" borderId="14" xfId="2" applyFont="1" applyBorder="1" applyAlignment="1">
      <alignment horizontal="center" vertical="top" wrapText="1"/>
    </xf>
    <xf numFmtId="0" fontId="9" fillId="0" borderId="14" xfId="2" applyFont="1" applyBorder="1" applyAlignment="1">
      <alignment horizontal="left" vertical="top" wrapText="1" indent="2"/>
    </xf>
    <xf numFmtId="0" fontId="7" fillId="0" borderId="13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center" vertical="top" wrapText="1"/>
    </xf>
    <xf numFmtId="4" fontId="7" fillId="0" borderId="3" xfId="0" applyNumberFormat="1" applyFont="1" applyBorder="1" applyProtection="1">
      <protection hidden="1"/>
    </xf>
    <xf numFmtId="2" fontId="0" fillId="0" borderId="0" xfId="0" applyNumberForma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4" fontId="13" fillId="0" borderId="0" xfId="0" applyNumberFormat="1" applyFont="1" applyProtection="1">
      <protection hidden="1"/>
    </xf>
    <xf numFmtId="4" fontId="14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0" fontId="1" fillId="0" borderId="3" xfId="0" applyFont="1" applyFill="1" applyBorder="1" applyProtection="1">
      <protection hidden="1"/>
    </xf>
    <xf numFmtId="0" fontId="0" fillId="0" borderId="3" xfId="0" applyFill="1" applyBorder="1" applyProtection="1">
      <protection hidden="1"/>
    </xf>
    <xf numFmtId="4" fontId="7" fillId="0" borderId="3" xfId="0" applyNumberFormat="1" applyFont="1" applyFill="1" applyBorder="1" applyAlignment="1" applyProtection="1">
      <alignment horizontal="right"/>
      <protection hidden="1"/>
    </xf>
    <xf numFmtId="2" fontId="7" fillId="0" borderId="3" xfId="0" applyNumberFormat="1" applyFont="1" applyBorder="1" applyAlignment="1" applyProtection="1">
      <alignment horizontal="right"/>
      <protection hidden="1"/>
    </xf>
    <xf numFmtId="4" fontId="4" fillId="0" borderId="3" xfId="0" applyNumberFormat="1" applyFont="1" applyBorder="1"/>
    <xf numFmtId="0" fontId="7" fillId="0" borderId="3" xfId="0" applyFont="1" applyBorder="1" applyProtection="1">
      <protection hidden="1"/>
    </xf>
    <xf numFmtId="4" fontId="5" fillId="0" borderId="3" xfId="1" applyNumberFormat="1" applyFont="1" applyBorder="1" applyAlignment="1">
      <alignment horizontal="right" vertical="center"/>
    </xf>
    <xf numFmtId="0" fontId="12" fillId="0" borderId="0" xfId="0" applyFont="1" applyAlignment="1" applyProtection="1">
      <alignment horizontal="center"/>
      <protection hidden="1"/>
    </xf>
    <xf numFmtId="2" fontId="12" fillId="0" borderId="0" xfId="0" applyNumberFormat="1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9" fillId="0" borderId="13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wrapText="1"/>
    </xf>
    <xf numFmtId="1" fontId="9" fillId="0" borderId="13" xfId="2" applyNumberFormat="1" applyFont="1" applyBorder="1" applyAlignment="1">
      <alignment horizontal="left" vertical="top" indent="1" shrinkToFit="1"/>
    </xf>
    <xf numFmtId="4" fontId="7" fillId="0" borderId="13" xfId="2" applyNumberFormat="1" applyFont="1" applyBorder="1" applyAlignment="1">
      <alignment horizontal="right" vertical="top" shrinkToFit="1"/>
    </xf>
    <xf numFmtId="2" fontId="7" fillId="0" borderId="13" xfId="2" applyNumberFormat="1" applyFont="1" applyBorder="1" applyAlignment="1">
      <alignment horizontal="right" vertical="top" shrinkToFit="1"/>
    </xf>
    <xf numFmtId="4" fontId="9" fillId="0" borderId="13" xfId="2" applyNumberFormat="1" applyFont="1" applyBorder="1" applyAlignment="1">
      <alignment horizontal="right" vertical="top" shrinkToFit="1"/>
    </xf>
    <xf numFmtId="2" fontId="9" fillId="0" borderId="13" xfId="2" applyNumberFormat="1" applyFont="1" applyBorder="1" applyAlignment="1">
      <alignment horizontal="right" vertical="top" shrinkToFit="1"/>
    </xf>
    <xf numFmtId="0" fontId="7" fillId="0" borderId="14" xfId="2" applyFont="1" applyBorder="1" applyAlignment="1">
      <alignment horizontal="left" wrapText="1"/>
    </xf>
    <xf numFmtId="2" fontId="7" fillId="0" borderId="13" xfId="2" applyNumberFormat="1" applyFont="1" applyBorder="1" applyAlignment="1">
      <alignment horizontal="right" vertical="center" shrinkToFit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hidden="1"/>
    </xf>
    <xf numFmtId="4" fontId="0" fillId="0" borderId="3" xfId="0" applyNumberFormat="1" applyBorder="1" applyProtection="1"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4" fillId="0" borderId="3" xfId="1" applyFont="1" applyBorder="1" applyAlignment="1" applyProtection="1">
      <alignment horizontal="left" vertical="center"/>
      <protection hidden="1"/>
    </xf>
    <xf numFmtId="0" fontId="3" fillId="0" borderId="3" xfId="1" applyFont="1" applyBorder="1" applyAlignment="1" applyProtection="1">
      <alignment horizontal="left" vertical="center"/>
      <protection hidden="1"/>
    </xf>
    <xf numFmtId="4" fontId="7" fillId="0" borderId="3" xfId="0" applyNumberFormat="1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2" fontId="3" fillId="0" borderId="4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2" fillId="0" borderId="2" xfId="0" applyFont="1" applyBorder="1" applyAlignment="1">
      <alignment horizontal="center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hidden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top" wrapText="1"/>
    </xf>
    <xf numFmtId="0" fontId="7" fillId="0" borderId="14" xfId="2" applyFont="1" applyBorder="1" applyAlignment="1">
      <alignment horizontal="left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10" xfId="2" applyFont="1" applyBorder="1" applyAlignment="1">
      <alignment horizontal="center" vertical="top" wrapText="1"/>
    </xf>
    <xf numFmtId="0" fontId="9" fillId="0" borderId="11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left" vertical="top" wrapText="1" indent="7"/>
    </xf>
    <xf numFmtId="0" fontId="9" fillId="0" borderId="10" xfId="2" applyFont="1" applyBorder="1" applyAlignment="1">
      <alignment horizontal="left" vertical="top" wrapText="1" indent="7"/>
    </xf>
    <xf numFmtId="0" fontId="9" fillId="0" borderId="11" xfId="2" applyFont="1" applyBorder="1" applyAlignment="1">
      <alignment horizontal="left" vertical="top" wrapText="1" indent="7"/>
    </xf>
    <xf numFmtId="0" fontId="9" fillId="0" borderId="9" xfId="2" applyFont="1" applyBorder="1" applyAlignment="1">
      <alignment horizontal="left" vertical="top" wrapText="1" indent="4"/>
    </xf>
    <xf numFmtId="0" fontId="9" fillId="0" borderId="10" xfId="2" applyFont="1" applyBorder="1" applyAlignment="1">
      <alignment horizontal="left" vertical="top" wrapText="1" indent="4"/>
    </xf>
    <xf numFmtId="0" fontId="9" fillId="0" borderId="11" xfId="2" applyFont="1" applyBorder="1" applyAlignment="1">
      <alignment horizontal="left" vertical="top" wrapText="1" indent="4"/>
    </xf>
    <xf numFmtId="0" fontId="7" fillId="0" borderId="12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2" borderId="15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16" xfId="2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19" workbookViewId="0">
      <selection activeCell="M46" sqref="M46"/>
    </sheetView>
  </sheetViews>
  <sheetFormatPr baseColWidth="10" defaultRowHeight="15" x14ac:dyDescent="0.25"/>
  <cols>
    <col min="1" max="1" width="38.7109375" style="1" bestFit="1" customWidth="1"/>
    <col min="2" max="2" width="6.42578125" style="1" bestFit="1" customWidth="1"/>
    <col min="3" max="3" width="10.140625" style="1" bestFit="1" customWidth="1"/>
    <col min="4" max="4" width="16.140625" style="1" customWidth="1"/>
    <col min="5" max="5" width="17.140625" style="1" customWidth="1"/>
    <col min="6" max="7" width="11.5703125" style="1" bestFit="1" customWidth="1"/>
    <col min="8" max="8" width="16.5703125" style="1" customWidth="1"/>
    <col min="9" max="12" width="11.5703125" style="1" bestFit="1" customWidth="1"/>
    <col min="13" max="13" width="15" style="1" customWidth="1"/>
    <col min="14" max="14" width="6.28515625" style="1" customWidth="1"/>
    <col min="15" max="16384" width="11.42578125" style="1"/>
  </cols>
  <sheetData>
    <row r="1" spans="1:13" ht="33.75" x14ac:dyDescent="0.25">
      <c r="A1" s="39" t="s">
        <v>7</v>
      </c>
      <c r="B1" s="39" t="s">
        <v>51</v>
      </c>
      <c r="C1" s="39" t="s">
        <v>8</v>
      </c>
      <c r="D1" s="40" t="s">
        <v>34</v>
      </c>
      <c r="E1" s="40" t="s">
        <v>35</v>
      </c>
      <c r="F1" s="39" t="s">
        <v>9</v>
      </c>
      <c r="G1" s="40" t="s">
        <v>36</v>
      </c>
      <c r="H1" s="40" t="s">
        <v>37</v>
      </c>
      <c r="I1" s="40" t="s">
        <v>38</v>
      </c>
      <c r="J1" s="40" t="s">
        <v>39</v>
      </c>
      <c r="K1" s="40" t="s">
        <v>40</v>
      </c>
      <c r="L1" s="40" t="s">
        <v>41</v>
      </c>
      <c r="M1" s="40" t="s">
        <v>42</v>
      </c>
    </row>
    <row r="2" spans="1:13" x14ac:dyDescent="0.25">
      <c r="A2" s="28" t="s">
        <v>43</v>
      </c>
      <c r="B2" s="2" t="s">
        <v>11</v>
      </c>
      <c r="C2" s="38">
        <v>1300.8800000000001</v>
      </c>
      <c r="D2" s="38">
        <v>1019.23</v>
      </c>
      <c r="E2" s="38">
        <v>1149.1500000000001</v>
      </c>
      <c r="F2" s="38">
        <f>C2+D2+E2</f>
        <v>3469.26</v>
      </c>
      <c r="G2" s="38">
        <v>802.76</v>
      </c>
      <c r="H2" s="38">
        <f>E2</f>
        <v>1149.1500000000001</v>
      </c>
      <c r="I2" s="38">
        <v>30.91</v>
      </c>
      <c r="J2" s="38">
        <f>G2+D2</f>
        <v>1821.99</v>
      </c>
      <c r="K2" s="38">
        <f>((F2*12)+(J2*2)+(H2*2))</f>
        <v>47573.400000000009</v>
      </c>
      <c r="L2" s="38">
        <v>50.07</v>
      </c>
      <c r="M2" s="38">
        <v>174.29</v>
      </c>
    </row>
    <row r="3" spans="1:13" x14ac:dyDescent="0.25">
      <c r="A3" s="28" t="s">
        <v>12</v>
      </c>
      <c r="B3" s="2" t="s">
        <v>44</v>
      </c>
      <c r="C3" s="38">
        <f>C2*D23</f>
        <v>563.54121599999996</v>
      </c>
      <c r="D3" s="38">
        <f>D2*D23</f>
        <v>441.53043600000001</v>
      </c>
      <c r="E3" s="38">
        <f>E2*D23</f>
        <v>497.81178</v>
      </c>
      <c r="F3" s="38">
        <f>C3+D3+H3</f>
        <v>1502.8834320000001</v>
      </c>
      <c r="G3" s="38">
        <f>G2*D23</f>
        <v>347.75563199999999</v>
      </c>
      <c r="H3" s="38">
        <f>H2*D23</f>
        <v>497.81178</v>
      </c>
      <c r="I3" s="38">
        <f>I2*D23</f>
        <v>13.390212</v>
      </c>
      <c r="J3" s="38">
        <f t="shared" ref="J3:J6" si="0">G3+D3</f>
        <v>789.286068</v>
      </c>
      <c r="K3" s="38">
        <f t="shared" ref="K3:K6" si="1">((F3*12)+(J3*2)+(H3*2))</f>
        <v>20608.796879999998</v>
      </c>
      <c r="L3" s="38">
        <f>L2*D23</f>
        <v>21.690324</v>
      </c>
      <c r="M3" s="13"/>
    </row>
    <row r="4" spans="1:13" x14ac:dyDescent="0.25">
      <c r="A4" s="12"/>
      <c r="B4" s="2" t="s">
        <v>45</v>
      </c>
      <c r="C4" s="38">
        <f>C2*D24</f>
        <v>469.61768000000001</v>
      </c>
      <c r="D4" s="38">
        <f>D2*D24</f>
        <v>367.94202999999999</v>
      </c>
      <c r="E4" s="38">
        <f>E2*D24</f>
        <v>414.84315000000004</v>
      </c>
      <c r="F4" s="38">
        <f t="shared" ref="F4:F6" si="2">C4+D4+E4</f>
        <v>1252.4028600000001</v>
      </c>
      <c r="G4" s="38">
        <f>G2*D24</f>
        <v>289.79635999999999</v>
      </c>
      <c r="H4" s="38">
        <f>H2*D24</f>
        <v>414.84315000000004</v>
      </c>
      <c r="I4" s="38">
        <f>I2*D24</f>
        <v>11.15851</v>
      </c>
      <c r="J4" s="38">
        <f t="shared" si="0"/>
        <v>657.73838999999998</v>
      </c>
      <c r="K4" s="38">
        <f t="shared" si="1"/>
        <v>17173.997400000004</v>
      </c>
      <c r="L4" s="38">
        <f>L2*D24</f>
        <v>18.07527</v>
      </c>
      <c r="M4" s="13"/>
    </row>
    <row r="5" spans="1:13" x14ac:dyDescent="0.25">
      <c r="A5" s="12"/>
      <c r="B5" s="2" t="s">
        <v>46</v>
      </c>
      <c r="C5" s="38">
        <f>C2*D25</f>
        <v>375.69414400000005</v>
      </c>
      <c r="D5" s="38">
        <f>D2*D25</f>
        <v>294.35362400000002</v>
      </c>
      <c r="E5" s="38">
        <f>E2*D25</f>
        <v>331.87452000000002</v>
      </c>
      <c r="F5" s="38">
        <f t="shared" si="2"/>
        <v>1001.9222880000002</v>
      </c>
      <c r="G5" s="38">
        <f>G2*D25</f>
        <v>231.83708799999999</v>
      </c>
      <c r="H5" s="38">
        <f>H2*D25</f>
        <v>331.87452000000002</v>
      </c>
      <c r="I5" s="38">
        <f>I2*D25</f>
        <v>8.9268079999999994</v>
      </c>
      <c r="J5" s="38">
        <f t="shared" si="0"/>
        <v>526.19071200000008</v>
      </c>
      <c r="K5" s="38">
        <f t="shared" si="1"/>
        <v>13739.197920000004</v>
      </c>
      <c r="L5" s="38">
        <f>L2*D25</f>
        <v>14.460216000000001</v>
      </c>
      <c r="M5" s="13"/>
    </row>
    <row r="6" spans="1:13" x14ac:dyDescent="0.25">
      <c r="A6" s="12"/>
      <c r="B6" s="2" t="s">
        <v>47</v>
      </c>
      <c r="C6" s="38">
        <f>C2*D26</f>
        <v>281.77060799999998</v>
      </c>
      <c r="D6" s="38">
        <f>D2*D26</f>
        <v>220.765218</v>
      </c>
      <c r="E6" s="38">
        <f>E2*D26</f>
        <v>248.90589</v>
      </c>
      <c r="F6" s="38">
        <f t="shared" si="2"/>
        <v>751.44171600000004</v>
      </c>
      <c r="G6" s="38">
        <f>G2*D26</f>
        <v>173.877816</v>
      </c>
      <c r="H6" s="38">
        <f>H2*D26</f>
        <v>248.90589</v>
      </c>
      <c r="I6" s="38">
        <f>I2*D26</f>
        <v>6.695106</v>
      </c>
      <c r="J6" s="38">
        <f t="shared" si="0"/>
        <v>394.643034</v>
      </c>
      <c r="K6" s="38">
        <f t="shared" si="1"/>
        <v>10304.398439999999</v>
      </c>
      <c r="L6" s="38">
        <f>L2*D26</f>
        <v>10.845162</v>
      </c>
      <c r="M6" s="13"/>
    </row>
    <row r="7" spans="1:1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28" t="s">
        <v>48</v>
      </c>
      <c r="B8" s="2" t="s">
        <v>11</v>
      </c>
      <c r="C8" s="38">
        <f>C2</f>
        <v>1300.8800000000001</v>
      </c>
      <c r="D8" s="38">
        <v>933.5</v>
      </c>
      <c r="E8" s="38">
        <v>536.11</v>
      </c>
      <c r="F8" s="38">
        <f>C8+D8+E8</f>
        <v>2770.4900000000002</v>
      </c>
      <c r="G8" s="38">
        <f>G2</f>
        <v>802.76</v>
      </c>
      <c r="H8" s="38">
        <f>E8</f>
        <v>536.11</v>
      </c>
      <c r="I8" s="38">
        <f>I2</f>
        <v>30.91</v>
      </c>
      <c r="J8" s="38">
        <f>G8+D8</f>
        <v>1736.26</v>
      </c>
      <c r="K8" s="38">
        <f>((F8*12)+(J8*2)+(H8*2))</f>
        <v>37790.620000000003</v>
      </c>
      <c r="L8" s="38">
        <f>L2</f>
        <v>50.07</v>
      </c>
      <c r="M8" s="38">
        <v>141.15</v>
      </c>
    </row>
    <row r="9" spans="1:13" x14ac:dyDescent="0.25">
      <c r="A9" s="28" t="s">
        <v>49</v>
      </c>
      <c r="B9" s="2" t="s">
        <v>44</v>
      </c>
      <c r="C9" s="38">
        <f>C8*0.4332</f>
        <v>563.54121599999996</v>
      </c>
      <c r="D9" s="38">
        <f>D8*D23</f>
        <v>404.3922</v>
      </c>
      <c r="E9" s="38">
        <f>E8*D23</f>
        <v>232.242852</v>
      </c>
      <c r="F9" s="38">
        <f>C9+D9+H9</f>
        <v>1200.1762679999999</v>
      </c>
      <c r="G9" s="38">
        <f>G8*D23</f>
        <v>347.75563199999999</v>
      </c>
      <c r="H9" s="38">
        <f>H8*D23</f>
        <v>232.242852</v>
      </c>
      <c r="I9" s="38">
        <f>I8*D23</f>
        <v>13.390212</v>
      </c>
      <c r="J9" s="38">
        <f t="shared" ref="J9:J12" si="3">G9+D9</f>
        <v>752.14783199999999</v>
      </c>
      <c r="K9" s="38">
        <f t="shared" ref="K9:K12" si="4">((F9*12)+(J9*2)+(H9*2))</f>
        <v>16370.896583999998</v>
      </c>
      <c r="L9" s="38">
        <f>L8*D23</f>
        <v>21.690324</v>
      </c>
      <c r="M9" s="13"/>
    </row>
    <row r="10" spans="1:13" x14ac:dyDescent="0.25">
      <c r="A10" s="28" t="s">
        <v>13</v>
      </c>
      <c r="B10" s="2" t="s">
        <v>45</v>
      </c>
      <c r="C10" s="38">
        <f>C8*D24</f>
        <v>469.61768000000001</v>
      </c>
      <c r="D10" s="38">
        <f>D8*D24</f>
        <v>336.99349999999998</v>
      </c>
      <c r="E10" s="38">
        <f>E8*D24</f>
        <v>193.53570999999999</v>
      </c>
      <c r="F10" s="38">
        <f t="shared" ref="F10:F12" si="5">C10+D10+E10</f>
        <v>1000.14689</v>
      </c>
      <c r="G10" s="38">
        <f>G8*D24</f>
        <v>289.79635999999999</v>
      </c>
      <c r="H10" s="38">
        <f>H8*D24</f>
        <v>193.53570999999999</v>
      </c>
      <c r="I10" s="38">
        <f>I8*D24</f>
        <v>11.15851</v>
      </c>
      <c r="J10" s="38">
        <f t="shared" si="3"/>
        <v>626.78985999999998</v>
      </c>
      <c r="K10" s="38">
        <f t="shared" si="4"/>
        <v>13642.41382</v>
      </c>
      <c r="L10" s="38">
        <f>L8*D24</f>
        <v>18.07527</v>
      </c>
      <c r="M10" s="13"/>
    </row>
    <row r="11" spans="1:13" x14ac:dyDescent="0.25">
      <c r="A11" s="12"/>
      <c r="B11" s="2" t="s">
        <v>46</v>
      </c>
      <c r="C11" s="38">
        <f>C8*D25</f>
        <v>375.69414400000005</v>
      </c>
      <c r="D11" s="38">
        <f>D8*D25</f>
        <v>269.59480000000002</v>
      </c>
      <c r="E11" s="38">
        <f>E8*D25</f>
        <v>154.82856800000002</v>
      </c>
      <c r="F11" s="38">
        <f t="shared" si="5"/>
        <v>800.11751200000015</v>
      </c>
      <c r="G11" s="38">
        <f>G8*D25</f>
        <v>231.83708799999999</v>
      </c>
      <c r="H11" s="38">
        <f>H8*D25</f>
        <v>154.82856800000002</v>
      </c>
      <c r="I11" s="38">
        <f>I8*D25</f>
        <v>8.9268079999999994</v>
      </c>
      <c r="J11" s="38">
        <f t="shared" si="3"/>
        <v>501.43188800000001</v>
      </c>
      <c r="K11" s="38">
        <f t="shared" si="4"/>
        <v>10913.931056000001</v>
      </c>
      <c r="L11" s="38">
        <f>L8*D25</f>
        <v>14.460216000000001</v>
      </c>
      <c r="M11" s="13"/>
    </row>
    <row r="12" spans="1:13" x14ac:dyDescent="0.25">
      <c r="A12" s="12"/>
      <c r="B12" s="2" t="s">
        <v>47</v>
      </c>
      <c r="C12" s="38">
        <f>C8*D26</f>
        <v>281.77060799999998</v>
      </c>
      <c r="D12" s="38">
        <f>D8*D26</f>
        <v>202.1961</v>
      </c>
      <c r="E12" s="38">
        <f>E8*D26</f>
        <v>116.121426</v>
      </c>
      <c r="F12" s="38">
        <f t="shared" si="5"/>
        <v>600.08813399999997</v>
      </c>
      <c r="G12" s="38">
        <f>G8*D26</f>
        <v>173.877816</v>
      </c>
      <c r="H12" s="38">
        <f>H8*D26</f>
        <v>116.121426</v>
      </c>
      <c r="I12" s="38">
        <f>I8*D26</f>
        <v>6.695106</v>
      </c>
      <c r="J12" s="38">
        <f t="shared" si="3"/>
        <v>376.073916</v>
      </c>
      <c r="K12" s="38">
        <f t="shared" si="4"/>
        <v>8185.4482919999991</v>
      </c>
      <c r="L12" s="38">
        <f>L8*D26</f>
        <v>10.845162</v>
      </c>
      <c r="M12" s="13"/>
    </row>
    <row r="13" spans="1:1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28" t="s">
        <v>50</v>
      </c>
      <c r="B14" s="2" t="s">
        <v>11</v>
      </c>
      <c r="C14" s="38">
        <f>C2</f>
        <v>1300.8800000000001</v>
      </c>
      <c r="D14" s="38">
        <v>819</v>
      </c>
      <c r="E14" s="38">
        <v>330.98</v>
      </c>
      <c r="F14" s="38">
        <f>C14+D14+E14</f>
        <v>2450.86</v>
      </c>
      <c r="G14" s="38">
        <f>G2</f>
        <v>802.76</v>
      </c>
      <c r="H14" s="38">
        <f>E14</f>
        <v>330.98</v>
      </c>
      <c r="I14" s="38">
        <f>I2</f>
        <v>30.91</v>
      </c>
      <c r="J14" s="38">
        <f>G14+D14</f>
        <v>1621.76</v>
      </c>
      <c r="K14" s="38">
        <f>((F14*12)+(J14*2)+(H14*2))</f>
        <v>33315.800000000003</v>
      </c>
      <c r="L14" s="38">
        <f>L2</f>
        <v>50.07</v>
      </c>
      <c r="M14" s="38">
        <v>119.45</v>
      </c>
    </row>
    <row r="15" spans="1:13" x14ac:dyDescent="0.25">
      <c r="A15" s="28" t="s">
        <v>14</v>
      </c>
      <c r="B15" s="2" t="s">
        <v>44</v>
      </c>
      <c r="C15" s="38">
        <f>C14*0.4332</f>
        <v>563.54121599999996</v>
      </c>
      <c r="D15" s="38">
        <f>D14*D23</f>
        <v>354.79079999999999</v>
      </c>
      <c r="E15" s="38">
        <f>E14*D23</f>
        <v>143.38053600000001</v>
      </c>
      <c r="F15" s="38">
        <f>C15+D15+H15</f>
        <v>1061.712552</v>
      </c>
      <c r="G15" s="38">
        <f>G14*D23</f>
        <v>347.75563199999999</v>
      </c>
      <c r="H15" s="38">
        <f>H14*D23</f>
        <v>143.38053600000001</v>
      </c>
      <c r="I15" s="38">
        <f>I14*D23</f>
        <v>13.390212</v>
      </c>
      <c r="J15" s="38">
        <f t="shared" ref="J15:J18" si="6">G15+D15</f>
        <v>702.54643199999998</v>
      </c>
      <c r="K15" s="38">
        <f t="shared" ref="K15:K18" si="7">((F15*12)+(J15*2)+(H15*2))</f>
        <v>14432.404559999999</v>
      </c>
      <c r="L15" s="38">
        <f>L14*D23</f>
        <v>21.690324</v>
      </c>
      <c r="M15" s="13"/>
    </row>
    <row r="16" spans="1:13" x14ac:dyDescent="0.25">
      <c r="A16" s="12"/>
      <c r="B16" s="2" t="s">
        <v>45</v>
      </c>
      <c r="C16" s="38">
        <f>C14*D24</f>
        <v>469.61768000000001</v>
      </c>
      <c r="D16" s="38">
        <f>D14*D24</f>
        <v>295.65899999999999</v>
      </c>
      <c r="E16" s="38">
        <f>E14*D24</f>
        <v>119.48378</v>
      </c>
      <c r="F16" s="38">
        <f t="shared" ref="F16:F18" si="8">C16+D16+E16</f>
        <v>884.76045999999997</v>
      </c>
      <c r="G16" s="38">
        <f>G14*D24</f>
        <v>289.79635999999999</v>
      </c>
      <c r="H16" s="38">
        <f>H14*D24</f>
        <v>119.48378</v>
      </c>
      <c r="I16" s="38">
        <f>I14*D24</f>
        <v>11.15851</v>
      </c>
      <c r="J16" s="38">
        <f t="shared" si="6"/>
        <v>585.45535999999993</v>
      </c>
      <c r="K16" s="38">
        <f t="shared" si="7"/>
        <v>12027.003799999999</v>
      </c>
      <c r="L16" s="38">
        <f>L14*D24</f>
        <v>18.07527</v>
      </c>
      <c r="M16" s="13"/>
    </row>
    <row r="17" spans="1:19" x14ac:dyDescent="0.25">
      <c r="A17" s="12"/>
      <c r="B17" s="2" t="s">
        <v>46</v>
      </c>
      <c r="C17" s="38">
        <f>C14*D25</f>
        <v>375.69414400000005</v>
      </c>
      <c r="D17" s="38">
        <f>D14*D25</f>
        <v>236.52719999999999</v>
      </c>
      <c r="E17" s="38">
        <f>E14*D25</f>
        <v>95.587024</v>
      </c>
      <c r="F17" s="38">
        <f t="shared" si="8"/>
        <v>707.80836800000009</v>
      </c>
      <c r="G17" s="38">
        <f>G14*D25</f>
        <v>231.83708799999999</v>
      </c>
      <c r="H17" s="38">
        <f>H14*D25</f>
        <v>95.587024</v>
      </c>
      <c r="I17" s="38">
        <f>I14*D25</f>
        <v>8.9268079999999994</v>
      </c>
      <c r="J17" s="38">
        <f t="shared" si="6"/>
        <v>468.36428799999999</v>
      </c>
      <c r="K17" s="38">
        <f t="shared" si="7"/>
        <v>9621.6030400000018</v>
      </c>
      <c r="L17" s="38">
        <f>L14*D25</f>
        <v>14.460216000000001</v>
      </c>
      <c r="M17" s="13"/>
    </row>
    <row r="18" spans="1:19" x14ac:dyDescent="0.25">
      <c r="A18" s="12"/>
      <c r="B18" s="2" t="s">
        <v>47</v>
      </c>
      <c r="C18" s="38">
        <f>C14*D26</f>
        <v>281.77060799999998</v>
      </c>
      <c r="D18" s="38">
        <f>D14*D26</f>
        <v>177.3954</v>
      </c>
      <c r="E18" s="38">
        <f>E14*D26</f>
        <v>71.690268000000003</v>
      </c>
      <c r="F18" s="38">
        <f t="shared" si="8"/>
        <v>530.85627599999998</v>
      </c>
      <c r="G18" s="38">
        <f>G14*D26</f>
        <v>173.877816</v>
      </c>
      <c r="H18" s="38">
        <f>H14*D26</f>
        <v>71.690268000000003</v>
      </c>
      <c r="I18" s="38">
        <f>I14*D26</f>
        <v>6.695106</v>
      </c>
      <c r="J18" s="38">
        <f t="shared" si="6"/>
        <v>351.27321599999999</v>
      </c>
      <c r="K18" s="38">
        <f t="shared" si="7"/>
        <v>7216.2022799999995</v>
      </c>
      <c r="L18" s="38">
        <f>L14*D26</f>
        <v>10.845162</v>
      </c>
      <c r="M18" s="13"/>
    </row>
    <row r="19" spans="1:19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9" x14ac:dyDescent="0.25">
      <c r="A20" s="101" t="s">
        <v>53</v>
      </c>
      <c r="B20" s="101"/>
      <c r="C20" s="101"/>
      <c r="D20" s="101"/>
      <c r="E20" s="101"/>
      <c r="F20" s="101"/>
      <c r="G20" s="101"/>
      <c r="H20" s="101"/>
      <c r="I20" s="12"/>
      <c r="J20" s="12"/>
      <c r="K20" s="12"/>
      <c r="L20" s="12"/>
      <c r="M20" s="12"/>
    </row>
    <row r="21" spans="1:19" x14ac:dyDescent="0.25">
      <c r="A21" s="2"/>
      <c r="B21" s="3"/>
      <c r="C21" s="4" t="s">
        <v>15</v>
      </c>
      <c r="D21" s="4" t="s">
        <v>59</v>
      </c>
      <c r="E21" s="93" t="s">
        <v>16</v>
      </c>
      <c r="F21" s="94"/>
      <c r="G21" s="5" t="s">
        <v>54</v>
      </c>
      <c r="H21" s="5" t="s">
        <v>41</v>
      </c>
      <c r="I21" s="27"/>
      <c r="J21" s="27"/>
      <c r="K21" s="5" t="s">
        <v>54</v>
      </c>
      <c r="L21" s="5" t="s">
        <v>17</v>
      </c>
      <c r="M21" s="5" t="s">
        <v>18</v>
      </c>
    </row>
    <row r="22" spans="1:19" x14ac:dyDescent="0.25">
      <c r="A22" s="102" t="s">
        <v>109</v>
      </c>
      <c r="B22" s="2" t="s">
        <v>11</v>
      </c>
      <c r="C22" s="38">
        <v>1033.92</v>
      </c>
      <c r="D22" s="6"/>
      <c r="E22" s="7" t="s">
        <v>11</v>
      </c>
      <c r="F22" s="9">
        <f>H22</f>
        <v>62.57</v>
      </c>
      <c r="G22" s="7" t="s">
        <v>2</v>
      </c>
      <c r="H22" s="9">
        <v>62.57</v>
      </c>
      <c r="I22" s="27"/>
      <c r="J22" s="27"/>
      <c r="K22" s="7" t="s">
        <v>2</v>
      </c>
      <c r="L22" s="6">
        <v>118.04</v>
      </c>
      <c r="M22" s="6">
        <v>51.68</v>
      </c>
    </row>
    <row r="23" spans="1:19" x14ac:dyDescent="0.25">
      <c r="A23" s="103"/>
      <c r="B23" s="12" t="s">
        <v>44</v>
      </c>
      <c r="C23" s="6">
        <f>C22*D23</f>
        <v>447.89414399999998</v>
      </c>
      <c r="D23" s="8">
        <v>0.43319999999999997</v>
      </c>
      <c r="E23" s="7" t="s">
        <v>44</v>
      </c>
      <c r="F23" s="9">
        <f>F22*0.4332</f>
        <v>27.105324</v>
      </c>
      <c r="G23" s="7" t="s">
        <v>3</v>
      </c>
      <c r="H23" s="9">
        <v>47.73</v>
      </c>
      <c r="I23" s="27"/>
      <c r="J23" s="27"/>
      <c r="K23" s="7" t="s">
        <v>3</v>
      </c>
      <c r="L23" s="6">
        <v>92.9</v>
      </c>
      <c r="M23" s="6">
        <v>40.68</v>
      </c>
    </row>
    <row r="24" spans="1:19" x14ac:dyDescent="0.25">
      <c r="A24" s="103"/>
      <c r="B24" s="12" t="s">
        <v>45</v>
      </c>
      <c r="C24" s="6">
        <f>C22*D24</f>
        <v>373.24511999999999</v>
      </c>
      <c r="D24" s="8">
        <v>0.36099999999999999</v>
      </c>
      <c r="E24" s="7" t="s">
        <v>45</v>
      </c>
      <c r="F24" s="9">
        <f>F22*0.361</f>
        <v>22.587769999999999</v>
      </c>
      <c r="G24" s="9" t="s">
        <v>5</v>
      </c>
      <c r="H24" s="9">
        <v>38.28</v>
      </c>
      <c r="I24" s="27"/>
      <c r="J24" s="27"/>
      <c r="K24" s="7" t="s">
        <v>4</v>
      </c>
      <c r="L24" s="2">
        <v>81.349999999999994</v>
      </c>
      <c r="M24" s="2">
        <v>35.619999999999997</v>
      </c>
    </row>
    <row r="25" spans="1:19" x14ac:dyDescent="0.25">
      <c r="A25" s="103"/>
      <c r="B25" s="12" t="s">
        <v>46</v>
      </c>
      <c r="C25" s="6">
        <f>C22*D25</f>
        <v>298.59609600000005</v>
      </c>
      <c r="D25" s="8">
        <v>0.2888</v>
      </c>
      <c r="E25" s="7" t="s">
        <v>46</v>
      </c>
      <c r="F25" s="9">
        <f>F22*0.2888</f>
        <v>18.070215999999999</v>
      </c>
      <c r="G25" s="9" t="s">
        <v>6</v>
      </c>
      <c r="H25" s="9">
        <v>25.78</v>
      </c>
      <c r="I25" s="27"/>
      <c r="J25" s="27"/>
      <c r="K25" s="9" t="s">
        <v>5</v>
      </c>
      <c r="L25" s="6">
        <v>71.349999999999994</v>
      </c>
      <c r="M25" s="6">
        <v>31.24</v>
      </c>
    </row>
    <row r="26" spans="1:19" x14ac:dyDescent="0.25">
      <c r="A26" s="103"/>
      <c r="B26" s="12" t="s">
        <v>47</v>
      </c>
      <c r="C26" s="6">
        <f>C22*D26</f>
        <v>223.94707199999999</v>
      </c>
      <c r="D26" s="8">
        <v>0.21659999999999999</v>
      </c>
      <c r="E26" s="7" t="s">
        <v>47</v>
      </c>
      <c r="F26" s="9">
        <f>F22*0.2166</f>
        <v>13.552662</v>
      </c>
      <c r="G26" s="9" t="s">
        <v>19</v>
      </c>
      <c r="H26" s="9">
        <v>19.18</v>
      </c>
      <c r="I26" s="27"/>
      <c r="J26" s="27"/>
      <c r="K26" s="9" t="s">
        <v>6</v>
      </c>
      <c r="L26" s="6">
        <v>56.45</v>
      </c>
      <c r="M26" s="6">
        <v>24.72</v>
      </c>
      <c r="P26" s="60"/>
      <c r="Q26" s="60"/>
      <c r="R26" s="60"/>
      <c r="S26" s="60"/>
    </row>
    <row r="27" spans="1:19" x14ac:dyDescent="0.25">
      <c r="A27" s="104"/>
      <c r="B27" s="2" t="s">
        <v>52</v>
      </c>
      <c r="C27" s="6">
        <f>C22*D27</f>
        <v>149.29804800000002</v>
      </c>
      <c r="D27" s="8">
        <v>0.1444</v>
      </c>
      <c r="E27" s="7" t="s">
        <v>52</v>
      </c>
      <c r="F27" s="9">
        <f>F22*0.1444</f>
        <v>9.0351079999999993</v>
      </c>
      <c r="G27" s="27"/>
      <c r="H27" s="27"/>
      <c r="I27" s="27"/>
      <c r="J27" s="27"/>
      <c r="K27" s="9" t="s">
        <v>19</v>
      </c>
      <c r="L27" s="6">
        <v>48.13</v>
      </c>
      <c r="M27" s="6">
        <v>21.07</v>
      </c>
      <c r="P27" s="60"/>
      <c r="Q27" s="60"/>
      <c r="R27" s="60"/>
      <c r="S27" s="60"/>
    </row>
    <row r="28" spans="1:19" x14ac:dyDescent="0.25">
      <c r="P28" s="60"/>
      <c r="Q28" s="60"/>
      <c r="R28" s="60"/>
      <c r="S28" s="60"/>
    </row>
    <row r="29" spans="1:19" x14ac:dyDescent="0.25">
      <c r="P29" s="60"/>
      <c r="Q29" s="60"/>
      <c r="R29" s="60"/>
      <c r="S29" s="60"/>
    </row>
    <row r="30" spans="1:19" x14ac:dyDescent="0.25">
      <c r="D30" s="88" t="s">
        <v>10</v>
      </c>
      <c r="E30" s="88"/>
      <c r="F30" s="88"/>
      <c r="G30" s="88"/>
      <c r="I30" s="88" t="s">
        <v>58</v>
      </c>
      <c r="J30" s="88"/>
      <c r="P30" s="61"/>
      <c r="Q30" s="60"/>
      <c r="R30" s="60"/>
      <c r="S30" s="60"/>
    </row>
    <row r="31" spans="1:19" x14ac:dyDescent="0.25">
      <c r="D31" s="88" t="s">
        <v>55</v>
      </c>
      <c r="E31" s="88"/>
      <c r="F31" s="88" t="s">
        <v>56</v>
      </c>
      <c r="G31" s="88"/>
      <c r="I31" s="91">
        <v>1350.34</v>
      </c>
      <c r="J31" s="91"/>
      <c r="O31" s="41"/>
      <c r="P31" s="62"/>
      <c r="Q31" s="60"/>
      <c r="R31" s="60"/>
      <c r="S31" s="60"/>
    </row>
    <row r="32" spans="1:19" x14ac:dyDescent="0.25">
      <c r="D32" s="10" t="s">
        <v>54</v>
      </c>
      <c r="E32" s="10" t="s">
        <v>57</v>
      </c>
      <c r="F32" s="10" t="s">
        <v>54</v>
      </c>
      <c r="G32" s="10" t="s">
        <v>57</v>
      </c>
      <c r="P32" s="60"/>
      <c r="Q32" s="60"/>
      <c r="R32" s="60"/>
      <c r="S32" s="60"/>
    </row>
    <row r="33" spans="4:19" x14ac:dyDescent="0.25">
      <c r="D33" s="7" t="s">
        <v>2</v>
      </c>
      <c r="E33" s="9">
        <v>50.07</v>
      </c>
      <c r="F33" s="7" t="s">
        <v>2</v>
      </c>
      <c r="G33" s="70">
        <v>30.91</v>
      </c>
      <c r="I33" s="100" t="s">
        <v>102</v>
      </c>
      <c r="J33" s="100"/>
      <c r="K33" s="85" t="s">
        <v>57</v>
      </c>
      <c r="L33" s="32" t="s">
        <v>10</v>
      </c>
      <c r="P33" s="60"/>
      <c r="Q33" s="60"/>
      <c r="R33" s="60"/>
      <c r="S33" s="60"/>
    </row>
    <row r="34" spans="4:19" x14ac:dyDescent="0.25">
      <c r="D34" s="7" t="s">
        <v>3</v>
      </c>
      <c r="E34" s="9">
        <v>40.83</v>
      </c>
      <c r="F34" s="7" t="s">
        <v>3</v>
      </c>
      <c r="G34" s="70">
        <v>29.77</v>
      </c>
      <c r="I34" s="96" t="s">
        <v>54</v>
      </c>
      <c r="J34" s="97"/>
      <c r="K34" s="32" t="s">
        <v>103</v>
      </c>
      <c r="L34" s="32" t="s">
        <v>103</v>
      </c>
      <c r="M34" s="59"/>
      <c r="N34" s="59" t="s">
        <v>147</v>
      </c>
      <c r="O34" s="59"/>
      <c r="P34" s="60"/>
      <c r="Q34" s="60"/>
      <c r="R34" s="60"/>
      <c r="S34" s="60"/>
    </row>
    <row r="35" spans="4:19" x14ac:dyDescent="0.25">
      <c r="D35" s="7" t="s">
        <v>4</v>
      </c>
      <c r="E35" s="9">
        <v>35.82</v>
      </c>
      <c r="F35" s="7" t="s">
        <v>4</v>
      </c>
      <c r="G35" s="70">
        <v>30.98</v>
      </c>
      <c r="I35" s="98" t="s">
        <v>2</v>
      </c>
      <c r="J35" s="99"/>
      <c r="K35" s="68">
        <v>1033.92</v>
      </c>
      <c r="L35" s="68">
        <v>62.57</v>
      </c>
      <c r="M35" s="59"/>
      <c r="N35" s="59" t="s">
        <v>61</v>
      </c>
      <c r="O35" s="59" t="s">
        <v>62</v>
      </c>
      <c r="P35" s="59" t="s">
        <v>63</v>
      </c>
      <c r="Q35" s="59" t="s">
        <v>64</v>
      </c>
      <c r="R35" s="59" t="s">
        <v>65</v>
      </c>
      <c r="S35" s="60"/>
    </row>
    <row r="36" spans="4:19" x14ac:dyDescent="0.25">
      <c r="D36" s="9" t="s">
        <v>5</v>
      </c>
      <c r="E36" s="9">
        <v>30.91</v>
      </c>
      <c r="F36" s="9" t="s">
        <v>5</v>
      </c>
      <c r="G36" s="70">
        <v>26.68</v>
      </c>
      <c r="I36" s="98" t="s">
        <v>3</v>
      </c>
      <c r="J36" s="99"/>
      <c r="K36" s="68">
        <v>769.68</v>
      </c>
      <c r="L36" s="68">
        <v>47.77</v>
      </c>
      <c r="M36" s="59" t="s">
        <v>2</v>
      </c>
      <c r="N36" s="59">
        <f>K35*$D$23</f>
        <v>447.89414399999998</v>
      </c>
      <c r="O36" s="59">
        <f>K35*$D$24</f>
        <v>373.24511999999999</v>
      </c>
      <c r="P36" s="59">
        <v>16204.08</v>
      </c>
      <c r="Q36" s="59">
        <f>K35*$D$26</f>
        <v>223.94707199999999</v>
      </c>
      <c r="R36" s="59">
        <f>K35*$D$27</f>
        <v>149.29804800000002</v>
      </c>
      <c r="S36" s="60"/>
    </row>
    <row r="37" spans="4:19" x14ac:dyDescent="0.25">
      <c r="D37" s="9" t="s">
        <v>6</v>
      </c>
      <c r="E37" s="9">
        <v>21.04</v>
      </c>
      <c r="F37" s="9" t="s">
        <v>6</v>
      </c>
      <c r="G37" s="70">
        <v>20.82</v>
      </c>
      <c r="I37" s="98" t="s">
        <v>4</v>
      </c>
      <c r="J37" s="99"/>
      <c r="K37" s="68">
        <v>769.68</v>
      </c>
      <c r="L37" s="68">
        <v>47.77</v>
      </c>
      <c r="M37" s="59" t="s">
        <v>3</v>
      </c>
      <c r="N37" s="59">
        <f>K36*$D$23</f>
        <v>333.42537599999997</v>
      </c>
      <c r="O37" s="59">
        <f>K36*$D$24</f>
        <v>277.85447999999997</v>
      </c>
      <c r="P37" s="59">
        <f>K36*$D$25</f>
        <v>222.28358399999999</v>
      </c>
      <c r="Q37" s="59">
        <f>K36*$D$26</f>
        <v>166.71268799999999</v>
      </c>
      <c r="R37" s="59">
        <f>K36*$D$27</f>
        <v>111.141792</v>
      </c>
      <c r="S37" s="60"/>
    </row>
    <row r="38" spans="4:19" x14ac:dyDescent="0.25">
      <c r="D38" s="9" t="s">
        <v>19</v>
      </c>
      <c r="E38" s="9">
        <v>15.84</v>
      </c>
      <c r="F38" s="9" t="s">
        <v>19</v>
      </c>
      <c r="G38" s="70">
        <v>15.84</v>
      </c>
      <c r="I38" s="98" t="s">
        <v>5</v>
      </c>
      <c r="J38" s="99"/>
      <c r="K38" s="68">
        <v>627.58000000000004</v>
      </c>
      <c r="L38" s="68">
        <v>38.32</v>
      </c>
      <c r="M38" s="59"/>
      <c r="N38" s="59"/>
      <c r="O38" s="59"/>
      <c r="P38" s="59"/>
      <c r="Q38" s="59"/>
      <c r="R38" s="59"/>
      <c r="S38" s="60"/>
    </row>
    <row r="39" spans="4:19" x14ac:dyDescent="0.25">
      <c r="I39" s="98" t="s">
        <v>6</v>
      </c>
      <c r="J39" s="99"/>
      <c r="K39" s="68">
        <v>413.99</v>
      </c>
      <c r="L39" s="68">
        <v>25.8</v>
      </c>
      <c r="M39" s="59" t="s">
        <v>5</v>
      </c>
      <c r="N39" s="59">
        <f>K38*$D$23</f>
        <v>271.86765600000001</v>
      </c>
      <c r="O39" s="59">
        <f>K38*$D$24</f>
        <v>226.55638000000002</v>
      </c>
      <c r="P39" s="59">
        <f>K38*$D$25</f>
        <v>181.24510400000003</v>
      </c>
      <c r="Q39" s="59">
        <f>K38*$D$26</f>
        <v>135.93382800000001</v>
      </c>
      <c r="R39" s="59">
        <f>K38*$D$27</f>
        <v>90.622552000000013</v>
      </c>
      <c r="S39" s="60"/>
    </row>
    <row r="40" spans="4:19" x14ac:dyDescent="0.25">
      <c r="I40" s="95" t="s">
        <v>19</v>
      </c>
      <c r="J40" s="95"/>
      <c r="K40" s="68">
        <v>366.99</v>
      </c>
      <c r="L40" s="68">
        <v>19.22</v>
      </c>
      <c r="M40" s="59" t="s">
        <v>6</v>
      </c>
      <c r="N40" s="59">
        <f>K39*$D$23</f>
        <v>179.34046799999999</v>
      </c>
      <c r="O40" s="59">
        <f>K39*$D$24</f>
        <v>149.45039</v>
      </c>
      <c r="P40" s="59">
        <f>K39*$D$25</f>
        <v>119.560312</v>
      </c>
      <c r="Q40" s="59">
        <f>K39*$D$26</f>
        <v>89.670233999999994</v>
      </c>
      <c r="R40" s="59">
        <f>K39*$D$27</f>
        <v>59.780155999999998</v>
      </c>
      <c r="S40" s="60"/>
    </row>
    <row r="41" spans="4:19" x14ac:dyDescent="0.25">
      <c r="M41" s="59" t="s">
        <v>19</v>
      </c>
      <c r="N41" s="59">
        <f>K40*$D$23</f>
        <v>158.98006799999999</v>
      </c>
      <c r="O41" s="59">
        <f>K40*$D$24</f>
        <v>132.48338999999999</v>
      </c>
      <c r="P41" s="59">
        <f>K40*$D$25</f>
        <v>105.986712</v>
      </c>
      <c r="Q41" s="59">
        <f>K40*$D$26</f>
        <v>79.490033999999994</v>
      </c>
      <c r="R41" s="59">
        <f>K40*$D$27</f>
        <v>52.993355999999999</v>
      </c>
      <c r="S41" s="60"/>
    </row>
    <row r="42" spans="4:19" x14ac:dyDescent="0.25">
      <c r="D42" s="20" t="s">
        <v>90</v>
      </c>
      <c r="E42" s="17"/>
      <c r="I42" s="88" t="s">
        <v>104</v>
      </c>
      <c r="J42" s="88"/>
      <c r="K42" s="88"/>
      <c r="N42" s="58"/>
      <c r="P42" s="60"/>
      <c r="Q42" s="60"/>
      <c r="R42" s="60"/>
      <c r="S42" s="60"/>
    </row>
    <row r="43" spans="4:19" x14ac:dyDescent="0.25">
      <c r="D43" s="90" t="s">
        <v>91</v>
      </c>
      <c r="E43" s="90"/>
      <c r="F43" s="21" t="s">
        <v>92</v>
      </c>
      <c r="G43" s="21" t="s">
        <v>93</v>
      </c>
      <c r="I43" s="91">
        <v>1776.91</v>
      </c>
      <c r="J43" s="92"/>
      <c r="K43" s="92"/>
      <c r="P43" s="60"/>
      <c r="Q43" s="60"/>
      <c r="R43" s="60"/>
      <c r="S43" s="60"/>
    </row>
    <row r="44" spans="4:19" x14ac:dyDescent="0.25">
      <c r="D44" s="89" t="s">
        <v>94</v>
      </c>
      <c r="E44" s="89"/>
      <c r="F44" s="23">
        <v>1671.2</v>
      </c>
      <c r="G44" s="23">
        <f>F44</f>
        <v>1671.2</v>
      </c>
      <c r="P44" s="60"/>
      <c r="Q44" s="60"/>
      <c r="R44" s="60"/>
      <c r="S44" s="60"/>
    </row>
    <row r="45" spans="4:19" x14ac:dyDescent="0.25">
      <c r="D45" s="89" t="s">
        <v>95</v>
      </c>
      <c r="E45" s="89"/>
      <c r="F45" s="23">
        <v>755.52</v>
      </c>
      <c r="G45" s="23">
        <f t="shared" ref="G45:G51" si="9">F45</f>
        <v>755.52</v>
      </c>
      <c r="I45" s="88" t="s">
        <v>160</v>
      </c>
      <c r="J45" s="88"/>
      <c r="K45" s="88"/>
      <c r="L45" s="88"/>
      <c r="P45" s="60"/>
      <c r="Q45" s="60"/>
      <c r="R45" s="60"/>
      <c r="S45" s="60"/>
    </row>
    <row r="46" spans="4:19" x14ac:dyDescent="0.25">
      <c r="D46" s="89" t="s">
        <v>96</v>
      </c>
      <c r="E46" s="89"/>
      <c r="F46" s="23">
        <v>589.07000000000005</v>
      </c>
      <c r="G46" s="23">
        <f t="shared" si="9"/>
        <v>589.07000000000005</v>
      </c>
      <c r="I46" s="84" t="s">
        <v>153</v>
      </c>
      <c r="J46" s="84" t="s">
        <v>105</v>
      </c>
      <c r="K46" s="84">
        <v>2023</v>
      </c>
      <c r="L46" s="84" t="s">
        <v>154</v>
      </c>
      <c r="P46" s="60"/>
      <c r="Q46" s="60"/>
      <c r="R46" s="60"/>
      <c r="S46" s="60"/>
    </row>
    <row r="47" spans="4:19" x14ac:dyDescent="0.25">
      <c r="D47" s="89" t="s">
        <v>97</v>
      </c>
      <c r="E47" s="89"/>
      <c r="F47" s="23">
        <v>317.88</v>
      </c>
      <c r="G47" s="23">
        <f t="shared" si="9"/>
        <v>317.88</v>
      </c>
      <c r="I47" s="11" t="s">
        <v>155</v>
      </c>
      <c r="J47" s="86" t="s">
        <v>2</v>
      </c>
      <c r="K47" s="87">
        <v>80.28</v>
      </c>
      <c r="L47" s="87">
        <f>K47</f>
        <v>80.28</v>
      </c>
    </row>
    <row r="48" spans="4:19" x14ac:dyDescent="0.25">
      <c r="D48" s="89" t="s">
        <v>98</v>
      </c>
      <c r="E48" s="89"/>
      <c r="F48" s="23">
        <v>426.25</v>
      </c>
      <c r="G48" s="23">
        <f t="shared" si="9"/>
        <v>426.25</v>
      </c>
      <c r="I48" s="11" t="s">
        <v>156</v>
      </c>
      <c r="J48" s="86" t="s">
        <v>2</v>
      </c>
      <c r="K48" s="87">
        <v>93.32</v>
      </c>
      <c r="L48" s="87">
        <f>L47+K48</f>
        <v>173.6</v>
      </c>
      <c r="M48" s="71"/>
      <c r="N48" s="59" t="s">
        <v>148</v>
      </c>
      <c r="O48" s="59"/>
      <c r="P48" s="59"/>
      <c r="Q48" s="59"/>
      <c r="R48" s="59"/>
    </row>
    <row r="49" spans="4:18" x14ac:dyDescent="0.25">
      <c r="D49" s="89" t="s">
        <v>1</v>
      </c>
      <c r="E49" s="89"/>
      <c r="F49" s="23">
        <v>229.14</v>
      </c>
      <c r="G49" s="23">
        <f t="shared" si="9"/>
        <v>229.14</v>
      </c>
      <c r="I49" s="11" t="s">
        <v>157</v>
      </c>
      <c r="J49" s="86" t="s">
        <v>2</v>
      </c>
      <c r="K49" s="87">
        <v>119.81</v>
      </c>
      <c r="L49" s="87">
        <f t="shared" ref="L49:L51" si="10">L48+K49</f>
        <v>293.40999999999997</v>
      </c>
      <c r="M49" s="71" t="s">
        <v>2</v>
      </c>
      <c r="N49" s="72">
        <v>28.06</v>
      </c>
      <c r="O49" s="72">
        <v>23.38</v>
      </c>
      <c r="P49" s="72">
        <v>18.7</v>
      </c>
      <c r="Q49" s="72">
        <v>14.02</v>
      </c>
      <c r="R49" s="72">
        <v>9.36</v>
      </c>
    </row>
    <row r="50" spans="4:18" x14ac:dyDescent="0.25">
      <c r="D50" s="89" t="s">
        <v>99</v>
      </c>
      <c r="E50" s="89"/>
      <c r="F50" s="23">
        <v>426.25</v>
      </c>
      <c r="G50" s="23">
        <f t="shared" si="9"/>
        <v>426.25</v>
      </c>
      <c r="I50" s="11" t="s">
        <v>158</v>
      </c>
      <c r="J50" s="86" t="s">
        <v>2</v>
      </c>
      <c r="K50" s="87">
        <v>152.19</v>
      </c>
      <c r="L50" s="87">
        <f t="shared" si="10"/>
        <v>445.59999999999997</v>
      </c>
      <c r="M50" s="71" t="s">
        <v>3</v>
      </c>
      <c r="N50" s="72">
        <v>21.4</v>
      </c>
      <c r="O50" s="72">
        <v>17.829999999999998</v>
      </c>
      <c r="P50" s="72">
        <v>14.26</v>
      </c>
      <c r="Q50" s="72">
        <v>10.7</v>
      </c>
      <c r="R50" s="72">
        <v>7.13</v>
      </c>
    </row>
    <row r="51" spans="4:18" x14ac:dyDescent="0.25">
      <c r="D51" s="89" t="s">
        <v>100</v>
      </c>
      <c r="E51" s="89"/>
      <c r="F51" s="23">
        <v>165.77</v>
      </c>
      <c r="G51" s="23">
        <f t="shared" si="9"/>
        <v>165.77</v>
      </c>
      <c r="I51" s="11" t="s">
        <v>159</v>
      </c>
      <c r="J51" s="86" t="s">
        <v>2</v>
      </c>
      <c r="K51" s="87">
        <v>59.45</v>
      </c>
      <c r="L51" s="87">
        <f t="shared" si="10"/>
        <v>505.04999999999995</v>
      </c>
      <c r="M51" s="71" t="s">
        <v>5</v>
      </c>
      <c r="N51" s="72">
        <v>17.16</v>
      </c>
      <c r="O51" s="72">
        <v>14.3</v>
      </c>
      <c r="P51" s="72">
        <v>11.45</v>
      </c>
      <c r="Q51" s="72">
        <v>8.58</v>
      </c>
      <c r="R51" s="72">
        <v>5.72</v>
      </c>
    </row>
    <row r="52" spans="4:18" x14ac:dyDescent="0.25">
      <c r="M52" s="71" t="s">
        <v>6</v>
      </c>
      <c r="N52" s="72">
        <v>11.46</v>
      </c>
      <c r="O52" s="72">
        <v>9.64</v>
      </c>
      <c r="P52" s="72">
        <v>7.71</v>
      </c>
      <c r="Q52" s="72">
        <v>5.78</v>
      </c>
      <c r="R52" s="72">
        <v>3.85</v>
      </c>
    </row>
    <row r="53" spans="4:18" x14ac:dyDescent="0.25">
      <c r="M53" s="71" t="s">
        <v>19</v>
      </c>
      <c r="N53" s="72">
        <v>8.6</v>
      </c>
      <c r="O53" s="72">
        <v>7.16</v>
      </c>
      <c r="P53" s="72">
        <v>5.73</v>
      </c>
      <c r="Q53" s="72">
        <v>4.3</v>
      </c>
      <c r="R53" s="72">
        <v>2.87</v>
      </c>
    </row>
  </sheetData>
  <sheetProtection password="CAB1" sheet="1" objects="1" scenarios="1" formatCells="0" formatColumns="0"/>
  <mergeCells count="28">
    <mergeCell ref="A20:H20"/>
    <mergeCell ref="A22:A27"/>
    <mergeCell ref="D31:E31"/>
    <mergeCell ref="F31:G31"/>
    <mergeCell ref="D30:G30"/>
    <mergeCell ref="I42:K42"/>
    <mergeCell ref="I43:K43"/>
    <mergeCell ref="I30:J30"/>
    <mergeCell ref="I31:J31"/>
    <mergeCell ref="E21:F21"/>
    <mergeCell ref="I40:J40"/>
    <mergeCell ref="I34:J34"/>
    <mergeCell ref="I35:J35"/>
    <mergeCell ref="I36:J36"/>
    <mergeCell ref="I37:J37"/>
    <mergeCell ref="I39:J39"/>
    <mergeCell ref="I38:J38"/>
    <mergeCell ref="I33:J33"/>
    <mergeCell ref="D43:E43"/>
    <mergeCell ref="D44:E44"/>
    <mergeCell ref="D45:E45"/>
    <mergeCell ref="D46:E46"/>
    <mergeCell ref="D47:E47"/>
    <mergeCell ref="I45:L45"/>
    <mergeCell ref="D48:E48"/>
    <mergeCell ref="D49:E49"/>
    <mergeCell ref="D50:E50"/>
    <mergeCell ref="D51:E51"/>
  </mergeCells>
  <pageMargins left="0.31496062992125984" right="0.31496062992125984" top="0.55118110236220474" bottom="0.55118110236220474" header="0.31496062992125984" footer="0.31496062992125984"/>
  <pageSetup paperSize="8" orientation="landscape" r:id="rId1"/>
  <headerFooter>
    <oddHeader>&amp;LRetribuciones Personal Docente Funcionario  2023 &amp;CLey 31/2022, de 23 de diciembre, de Presupuestos Generales del Estado para el año 2023. (incluye incremento del 2,5% + 0,5% IPCA+ 0,5% PIB)</oddHeader>
    <oddFooter>&amp;LUniversidad de Granada&amp;R&amp;P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workbookViewId="0">
      <selection activeCell="G10" sqref="G10"/>
    </sheetView>
  </sheetViews>
  <sheetFormatPr baseColWidth="10" defaultRowHeight="15" x14ac:dyDescent="0.25"/>
  <cols>
    <col min="1" max="1" width="63.28515625" style="1" customWidth="1"/>
    <col min="2" max="2" width="19" style="1" customWidth="1"/>
    <col min="3" max="3" width="22.5703125" style="1" customWidth="1"/>
    <col min="4" max="4" width="23" style="1" bestFit="1" customWidth="1"/>
    <col min="5" max="5" width="15.140625" style="1" customWidth="1"/>
    <col min="6" max="6" width="13.42578125" style="1" bestFit="1" customWidth="1"/>
    <col min="7" max="7" width="17.85546875" style="1" customWidth="1"/>
    <col min="8" max="8" width="19.5703125" style="1" customWidth="1"/>
    <col min="9" max="16384" width="11.42578125" style="1"/>
  </cols>
  <sheetData>
    <row r="1" spans="1:8" ht="21" x14ac:dyDescent="0.35">
      <c r="A1" s="108"/>
      <c r="B1" s="108"/>
      <c r="C1" s="108"/>
      <c r="D1" s="108"/>
      <c r="E1" s="108"/>
      <c r="F1" s="108"/>
      <c r="G1" s="108"/>
      <c r="H1" s="108"/>
    </row>
    <row r="2" spans="1:8" ht="21" x14ac:dyDescent="0.35">
      <c r="A2" s="30"/>
      <c r="B2" s="30"/>
      <c r="C2" s="30"/>
      <c r="D2" s="30"/>
      <c r="E2" s="30"/>
      <c r="F2" s="30"/>
      <c r="G2" s="30"/>
      <c r="H2" s="30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ht="30" x14ac:dyDescent="0.25">
      <c r="A4" s="18" t="s">
        <v>67</v>
      </c>
      <c r="B4" s="18" t="s">
        <v>68</v>
      </c>
      <c r="C4" s="18" t="s">
        <v>69</v>
      </c>
      <c r="D4" s="19" t="s">
        <v>150</v>
      </c>
      <c r="E4" s="19" t="s">
        <v>70</v>
      </c>
      <c r="F4" s="18" t="s">
        <v>71</v>
      </c>
      <c r="G4" s="18" t="s">
        <v>72</v>
      </c>
      <c r="H4" s="19" t="s">
        <v>73</v>
      </c>
    </row>
    <row r="5" spans="1:8" x14ac:dyDescent="0.25">
      <c r="A5" s="18"/>
      <c r="B5" s="18"/>
      <c r="C5" s="18"/>
      <c r="D5" s="19"/>
      <c r="E5" s="19"/>
      <c r="F5" s="18"/>
      <c r="G5" s="83">
        <v>802.76</v>
      </c>
      <c r="H5" s="19"/>
    </row>
    <row r="6" spans="1:8" x14ac:dyDescent="0.25">
      <c r="A6" s="10" t="s">
        <v>74</v>
      </c>
      <c r="B6" s="11" t="s">
        <v>60</v>
      </c>
      <c r="C6" s="15" t="str">
        <f>FIXED(C10*65%)</f>
        <v>845,57</v>
      </c>
      <c r="D6" s="16">
        <f>D10*65%</f>
        <v>955.24650000000008</v>
      </c>
      <c r="E6" s="15"/>
      <c r="F6" s="22">
        <f t="shared" ref="F6:F15" si="0">C6+D6+E6</f>
        <v>1800.8165000000001</v>
      </c>
      <c r="G6" s="22">
        <f>G5*90%+D6</f>
        <v>1677.7305000000001</v>
      </c>
      <c r="H6" s="11" t="s">
        <v>20</v>
      </c>
    </row>
    <row r="7" spans="1:8" x14ac:dyDescent="0.25">
      <c r="A7" s="10" t="s">
        <v>75</v>
      </c>
      <c r="B7" s="11" t="s">
        <v>60</v>
      </c>
      <c r="C7" s="15" t="str">
        <f>C6</f>
        <v>845,57</v>
      </c>
      <c r="D7" s="16">
        <f>D10*65%</f>
        <v>955.24650000000008</v>
      </c>
      <c r="E7" s="16">
        <f>F10*2%</f>
        <v>55.409800000000004</v>
      </c>
      <c r="F7" s="22">
        <f t="shared" si="0"/>
        <v>1856.2263</v>
      </c>
      <c r="G7" s="22">
        <f>G5*90%+D7</f>
        <v>1677.7305000000001</v>
      </c>
      <c r="H7" s="11" t="s">
        <v>21</v>
      </c>
    </row>
    <row r="8" spans="1:8" x14ac:dyDescent="0.25">
      <c r="A8" s="10" t="s">
        <v>76</v>
      </c>
      <c r="B8" s="11" t="s">
        <v>60</v>
      </c>
      <c r="C8" s="15" t="str">
        <f>C6</f>
        <v>845,57</v>
      </c>
      <c r="D8" s="16">
        <f>D10*65%</f>
        <v>955.24650000000008</v>
      </c>
      <c r="E8" s="16" t="str">
        <f>FIXED(F10*5%)</f>
        <v>138,52</v>
      </c>
      <c r="F8" s="22">
        <f t="shared" si="0"/>
        <v>1939.3365000000001</v>
      </c>
      <c r="G8" s="22">
        <f>G5*90%+D8</f>
        <v>1677.7305000000001</v>
      </c>
      <c r="H8" s="11" t="s">
        <v>22</v>
      </c>
    </row>
    <row r="9" spans="1:8" x14ac:dyDescent="0.25">
      <c r="A9" s="10" t="s">
        <v>77</v>
      </c>
      <c r="B9" s="11" t="s">
        <v>60</v>
      </c>
      <c r="C9" s="22">
        <f>C10*90%</f>
        <v>1170.7920000000001</v>
      </c>
      <c r="D9" s="22">
        <f>D10*90%</f>
        <v>1322.6490000000001</v>
      </c>
      <c r="E9" s="15"/>
      <c r="F9" s="22">
        <f t="shared" si="0"/>
        <v>2493.4410000000003</v>
      </c>
      <c r="G9" s="22">
        <f>G5*90%+D9</f>
        <v>2045.1330000000003</v>
      </c>
      <c r="H9" s="11" t="s">
        <v>23</v>
      </c>
    </row>
    <row r="10" spans="1:8" x14ac:dyDescent="0.25">
      <c r="A10" s="10" t="s">
        <v>146</v>
      </c>
      <c r="B10" s="11" t="s">
        <v>60</v>
      </c>
      <c r="C10" s="24">
        <v>1300.8800000000001</v>
      </c>
      <c r="D10" s="24">
        <f>933.5+536.11</f>
        <v>1469.6100000000001</v>
      </c>
      <c r="E10" s="25"/>
      <c r="F10" s="24">
        <f t="shared" si="0"/>
        <v>2770.4900000000002</v>
      </c>
      <c r="G10" s="22">
        <f>G5+D10</f>
        <v>2272.37</v>
      </c>
      <c r="H10" s="11" t="s">
        <v>24</v>
      </c>
    </row>
    <row r="11" spans="1:8" x14ac:dyDescent="0.25">
      <c r="A11" s="10" t="s">
        <v>78</v>
      </c>
      <c r="B11" s="11" t="s">
        <v>60</v>
      </c>
      <c r="C11" s="25" t="str">
        <f>FIXED(C10*85%)</f>
        <v>1.105,75</v>
      </c>
      <c r="D11" s="22">
        <v>1206.92</v>
      </c>
      <c r="E11" s="25"/>
      <c r="F11" s="24">
        <f t="shared" si="0"/>
        <v>2312.67</v>
      </c>
      <c r="G11" s="22">
        <f>G5*85%+D11</f>
        <v>1889.2660000000001</v>
      </c>
      <c r="H11" s="11" t="s">
        <v>25</v>
      </c>
    </row>
    <row r="12" spans="1:8" x14ac:dyDescent="0.25">
      <c r="A12" s="10" t="s">
        <v>66</v>
      </c>
      <c r="B12" s="11" t="s">
        <v>60</v>
      </c>
      <c r="C12" s="15" t="str">
        <f>FIXED(C10*85%)</f>
        <v>1.105,75</v>
      </c>
      <c r="D12" s="16" t="str">
        <f>FIXED(D10*85%)</f>
        <v>1.249,17</v>
      </c>
      <c r="E12" s="16">
        <f>E7</f>
        <v>55.409800000000004</v>
      </c>
      <c r="F12" s="22">
        <f t="shared" si="0"/>
        <v>2410.3298</v>
      </c>
      <c r="G12" s="22">
        <f>G5*85%+D12+E12</f>
        <v>1986.9258</v>
      </c>
      <c r="H12" s="11" t="s">
        <v>26</v>
      </c>
    </row>
    <row r="13" spans="1:8" x14ac:dyDescent="0.25">
      <c r="A13" s="10" t="s">
        <v>79</v>
      </c>
      <c r="B13" s="11" t="s">
        <v>60</v>
      </c>
      <c r="C13" s="15" t="str">
        <f>FIXED(C10*85%)</f>
        <v>1.105,75</v>
      </c>
      <c r="D13" s="16" t="str">
        <f>FIXED(D10*85%)</f>
        <v>1.249,17</v>
      </c>
      <c r="E13" s="16" t="str">
        <f>E8</f>
        <v>138,52</v>
      </c>
      <c r="F13" s="22">
        <f t="shared" si="0"/>
        <v>2493.44</v>
      </c>
      <c r="G13" s="22">
        <f>G5*85%+D13+E13</f>
        <v>2070.0360000000001</v>
      </c>
      <c r="H13" s="11" t="s">
        <v>27</v>
      </c>
    </row>
    <row r="14" spans="1:8" x14ac:dyDescent="0.25">
      <c r="A14" s="10" t="s">
        <v>80</v>
      </c>
      <c r="B14" s="11" t="s">
        <v>60</v>
      </c>
      <c r="C14" s="24">
        <v>1040.6500000000001</v>
      </c>
      <c r="D14" s="67">
        <v>699.07</v>
      </c>
      <c r="E14" s="15"/>
      <c r="F14" s="22">
        <f t="shared" si="0"/>
        <v>1739.7200000000003</v>
      </c>
      <c r="G14" s="22">
        <f>C14+D14+E14</f>
        <v>1739.7200000000003</v>
      </c>
      <c r="H14" s="11"/>
    </row>
    <row r="15" spans="1:8" x14ac:dyDescent="0.25">
      <c r="A15" s="10" t="s">
        <v>81</v>
      </c>
      <c r="B15" s="11" t="s">
        <v>60</v>
      </c>
      <c r="C15" s="22">
        <f>C14</f>
        <v>1040.6500000000001</v>
      </c>
      <c r="D15" s="24">
        <v>1077.77</v>
      </c>
      <c r="E15" s="15"/>
      <c r="F15" s="22">
        <f t="shared" si="0"/>
        <v>2118.42</v>
      </c>
      <c r="G15" s="22">
        <f>C15+D15+E15</f>
        <v>2118.42</v>
      </c>
      <c r="H15" s="11"/>
    </row>
    <row r="16" spans="1:8" x14ac:dyDescent="0.25">
      <c r="A16" s="10" t="s">
        <v>82</v>
      </c>
      <c r="B16" s="11" t="s">
        <v>60</v>
      </c>
      <c r="C16" s="15" t="str">
        <f>FIXED(C10*60%)</f>
        <v>780,53</v>
      </c>
      <c r="D16" s="16" t="str">
        <f>FIXED(D10*60%)</f>
        <v>881,77</v>
      </c>
      <c r="E16" s="15"/>
      <c r="F16" s="22">
        <f>C16+D16</f>
        <v>1662.3</v>
      </c>
      <c r="G16" s="16">
        <f>G5*60%+D16</f>
        <v>1363.4259999999999</v>
      </c>
      <c r="H16" s="11" t="s">
        <v>28</v>
      </c>
    </row>
    <row r="17" spans="1:8" x14ac:dyDescent="0.25">
      <c r="A17" s="111" t="s">
        <v>83</v>
      </c>
      <c r="B17" s="11" t="s">
        <v>61</v>
      </c>
      <c r="C17" s="15" t="str">
        <f>FIXED(C10*30%)</f>
        <v>390,26</v>
      </c>
      <c r="D17" s="16" t="str">
        <f>FIXED(D10*30%)</f>
        <v>440,88</v>
      </c>
      <c r="E17" s="15"/>
      <c r="F17" s="16">
        <f>C17+D17+E17</f>
        <v>831.14</v>
      </c>
      <c r="G17" s="16">
        <f>G5*30%+D17</f>
        <v>681.70799999999997</v>
      </c>
      <c r="H17" s="11" t="s">
        <v>29</v>
      </c>
    </row>
    <row r="18" spans="1:8" x14ac:dyDescent="0.25">
      <c r="A18" s="112"/>
      <c r="B18" s="11" t="s">
        <v>62</v>
      </c>
      <c r="C18" s="15" t="str">
        <f>FIXED(C10*25%)</f>
        <v>325,22</v>
      </c>
      <c r="D18" s="16" t="str">
        <f>FIXED(D10*25%)</f>
        <v>367,40</v>
      </c>
      <c r="E18" s="15"/>
      <c r="F18" s="16">
        <f>C18+D18+E18</f>
        <v>692.62</v>
      </c>
      <c r="G18" s="16">
        <f>G5*25%+D18</f>
        <v>568.08999999999992</v>
      </c>
      <c r="H18" s="11" t="s">
        <v>30</v>
      </c>
    </row>
    <row r="19" spans="1:8" x14ac:dyDescent="0.25">
      <c r="A19" s="112"/>
      <c r="B19" s="11" t="s">
        <v>63</v>
      </c>
      <c r="C19" s="15" t="str">
        <f>FIXED(C10*20%)</f>
        <v>260,18</v>
      </c>
      <c r="D19" s="16" t="str">
        <f>FIXED(D10*20%)</f>
        <v>293,92</v>
      </c>
      <c r="E19" s="15"/>
      <c r="F19" s="16">
        <f>C19+D19+E19</f>
        <v>554.1</v>
      </c>
      <c r="G19" s="16">
        <f>G520%+D19</f>
        <v>293.92</v>
      </c>
      <c r="H19" s="11" t="s">
        <v>31</v>
      </c>
    </row>
    <row r="20" spans="1:8" x14ac:dyDescent="0.25">
      <c r="A20" s="112"/>
      <c r="B20" s="11" t="s">
        <v>64</v>
      </c>
      <c r="C20" s="15" t="str">
        <f>FIXED(C10*15%)</f>
        <v>195,13</v>
      </c>
      <c r="D20" s="16" t="str">
        <f>FIXED(D10*15%)</f>
        <v>220,44</v>
      </c>
      <c r="E20" s="15"/>
      <c r="F20" s="16">
        <f>C20+D20+E20</f>
        <v>415.57</v>
      </c>
      <c r="G20" s="16">
        <f>G5*15%+D20</f>
        <v>340.85399999999998</v>
      </c>
      <c r="H20" s="11" t="s">
        <v>32</v>
      </c>
    </row>
    <row r="21" spans="1:8" x14ac:dyDescent="0.25">
      <c r="A21" s="113"/>
      <c r="B21" s="11" t="s">
        <v>65</v>
      </c>
      <c r="C21" s="15" t="str">
        <f>FIXED(C10*10%)</f>
        <v>130,09</v>
      </c>
      <c r="D21" s="16" t="str">
        <f>FIXED(D10*10%)</f>
        <v>146,96</v>
      </c>
      <c r="E21" s="15"/>
      <c r="F21" s="16">
        <f>C21+D21+E21</f>
        <v>277.05</v>
      </c>
      <c r="G21" s="16">
        <f>G5*10%+D21</f>
        <v>227.23600000000002</v>
      </c>
      <c r="H21" s="11" t="s">
        <v>33</v>
      </c>
    </row>
    <row r="22" spans="1:8" x14ac:dyDescent="0.25">
      <c r="A22" s="64" t="s">
        <v>84</v>
      </c>
      <c r="B22" s="65" t="s">
        <v>101</v>
      </c>
      <c r="C22" s="66">
        <f>415.57</f>
        <v>415.57</v>
      </c>
      <c r="D22" s="15"/>
      <c r="E22" s="15"/>
      <c r="F22" s="15"/>
      <c r="G22" s="15"/>
      <c r="H22" s="11" t="s">
        <v>32</v>
      </c>
    </row>
    <row r="24" spans="1:8" x14ac:dyDescent="0.25">
      <c r="B24" s="109" t="s">
        <v>89</v>
      </c>
      <c r="C24" s="110"/>
      <c r="F24" s="109" t="s">
        <v>86</v>
      </c>
      <c r="G24" s="114"/>
      <c r="H24" s="110"/>
    </row>
    <row r="25" spans="1:8" x14ac:dyDescent="0.25">
      <c r="B25" s="10" t="s">
        <v>0</v>
      </c>
      <c r="C25" s="16">
        <f>F10*2%</f>
        <v>55.409800000000004</v>
      </c>
      <c r="F25" s="10" t="s">
        <v>68</v>
      </c>
      <c r="G25" s="10" t="s">
        <v>87</v>
      </c>
      <c r="H25" s="10" t="s">
        <v>88</v>
      </c>
    </row>
    <row r="26" spans="1:8" x14ac:dyDescent="0.25">
      <c r="B26" s="10" t="s">
        <v>85</v>
      </c>
      <c r="C26" s="16" t="str">
        <f>FIXED(F10*5%)</f>
        <v>138,52</v>
      </c>
      <c r="D26" s="63">
        <v>1716.82</v>
      </c>
      <c r="E26" s="63">
        <v>100</v>
      </c>
      <c r="F26" s="11" t="s">
        <v>61</v>
      </c>
      <c r="G26" s="25">
        <v>15.02</v>
      </c>
      <c r="H26" s="25">
        <v>9.5500000000000007</v>
      </c>
    </row>
    <row r="27" spans="1:8" x14ac:dyDescent="0.25">
      <c r="C27" s="26"/>
      <c r="D27" s="63">
        <f>D26*E27/E26</f>
        <v>1776.9087</v>
      </c>
      <c r="E27" s="63">
        <v>103.5</v>
      </c>
      <c r="F27" s="11" t="s">
        <v>62</v>
      </c>
      <c r="G27" s="67">
        <v>12.52</v>
      </c>
      <c r="H27" s="25">
        <v>7.96</v>
      </c>
    </row>
    <row r="28" spans="1:8" x14ac:dyDescent="0.25">
      <c r="C28" s="26"/>
      <c r="D28" s="27"/>
      <c r="F28" s="11" t="s">
        <v>63</v>
      </c>
      <c r="G28" s="25">
        <v>10.02</v>
      </c>
      <c r="H28" s="25">
        <v>6.37</v>
      </c>
    </row>
    <row r="29" spans="1:8" x14ac:dyDescent="0.25">
      <c r="A29" s="20" t="s">
        <v>90</v>
      </c>
      <c r="B29" s="17"/>
      <c r="F29" s="11" t="s">
        <v>64</v>
      </c>
      <c r="G29" s="25">
        <v>7.51</v>
      </c>
      <c r="H29" s="25">
        <v>4.7699999999999996</v>
      </c>
    </row>
    <row r="30" spans="1:8" x14ac:dyDescent="0.25">
      <c r="A30" s="33" t="s">
        <v>91</v>
      </c>
      <c r="B30" s="34"/>
      <c r="C30" s="21" t="s">
        <v>92</v>
      </c>
      <c r="F30" s="11" t="s">
        <v>65</v>
      </c>
      <c r="G30" s="24">
        <v>5</v>
      </c>
      <c r="H30" s="25">
        <v>3.19</v>
      </c>
    </row>
    <row r="31" spans="1:8" x14ac:dyDescent="0.25">
      <c r="A31" s="35" t="s">
        <v>94</v>
      </c>
      <c r="B31" s="36"/>
      <c r="C31" s="23">
        <v>1671.2</v>
      </c>
    </row>
    <row r="32" spans="1:8" x14ac:dyDescent="0.25">
      <c r="A32" s="29" t="s">
        <v>95</v>
      </c>
      <c r="B32" s="29"/>
      <c r="C32" s="23">
        <v>755.52</v>
      </c>
      <c r="E32" s="100" t="s">
        <v>107</v>
      </c>
      <c r="F32" s="100"/>
      <c r="G32" s="31" t="s">
        <v>108</v>
      </c>
      <c r="H32" s="37" t="s">
        <v>87</v>
      </c>
    </row>
    <row r="33" spans="1:8" x14ac:dyDescent="0.25">
      <c r="A33" s="29" t="s">
        <v>96</v>
      </c>
      <c r="B33" s="29"/>
      <c r="C33" s="23">
        <v>589.07000000000005</v>
      </c>
      <c r="E33" s="118" t="s">
        <v>105</v>
      </c>
      <c r="F33" s="118"/>
      <c r="G33" s="96" t="s">
        <v>106</v>
      </c>
      <c r="H33" s="115"/>
    </row>
    <row r="34" spans="1:8" x14ac:dyDescent="0.25">
      <c r="A34" s="29" t="s">
        <v>97</v>
      </c>
      <c r="B34" s="29"/>
      <c r="C34" s="23">
        <v>317.88</v>
      </c>
      <c r="E34" s="95" t="s">
        <v>2</v>
      </c>
      <c r="F34" s="95"/>
      <c r="G34" s="68">
        <v>1033.92</v>
      </c>
      <c r="H34" s="68">
        <v>62.57</v>
      </c>
    </row>
    <row r="35" spans="1:8" x14ac:dyDescent="0.25">
      <c r="A35" s="29" t="s">
        <v>98</v>
      </c>
      <c r="B35" s="29"/>
      <c r="C35" s="23">
        <v>426.25</v>
      </c>
      <c r="E35" s="95" t="s">
        <v>3</v>
      </c>
      <c r="F35" s="95"/>
      <c r="G35" s="68">
        <v>769.68</v>
      </c>
      <c r="H35" s="68">
        <v>47.77</v>
      </c>
    </row>
    <row r="36" spans="1:8" x14ac:dyDescent="0.25">
      <c r="A36" s="35" t="s">
        <v>1</v>
      </c>
      <c r="B36" s="36"/>
      <c r="C36" s="23">
        <v>229.14</v>
      </c>
      <c r="E36" s="119" t="s">
        <v>4</v>
      </c>
      <c r="F36" s="119"/>
      <c r="G36" s="68">
        <v>769.68</v>
      </c>
      <c r="H36" s="68">
        <v>47.77</v>
      </c>
    </row>
    <row r="37" spans="1:8" x14ac:dyDescent="0.25">
      <c r="A37" s="29" t="s">
        <v>99</v>
      </c>
      <c r="B37" s="29"/>
      <c r="C37" s="23">
        <v>426.25</v>
      </c>
      <c r="E37" s="95" t="s">
        <v>5</v>
      </c>
      <c r="F37" s="95"/>
      <c r="G37" s="68">
        <v>627.58000000000004</v>
      </c>
      <c r="H37" s="68">
        <v>38.32</v>
      </c>
    </row>
    <row r="38" spans="1:8" x14ac:dyDescent="0.25">
      <c r="A38" s="116" t="s">
        <v>100</v>
      </c>
      <c r="B38" s="117"/>
      <c r="C38" s="23">
        <v>165.77</v>
      </c>
      <c r="E38" s="98" t="s">
        <v>6</v>
      </c>
      <c r="F38" s="99"/>
      <c r="G38" s="68">
        <v>413.99</v>
      </c>
      <c r="H38" s="68">
        <v>25.8</v>
      </c>
    </row>
    <row r="39" spans="1:8" x14ac:dyDescent="0.25">
      <c r="E39" s="98" t="s">
        <v>19</v>
      </c>
      <c r="F39" s="99"/>
      <c r="G39" s="68">
        <v>366.99</v>
      </c>
      <c r="H39" s="68">
        <v>19.22</v>
      </c>
    </row>
    <row r="40" spans="1:8" ht="15" customHeight="1" x14ac:dyDescent="0.25">
      <c r="A40" s="11" t="s">
        <v>113</v>
      </c>
      <c r="B40" s="57">
        <v>1776.91</v>
      </c>
    </row>
    <row r="41" spans="1:8" ht="15" customHeight="1" x14ac:dyDescent="0.25">
      <c r="A41" s="11" t="s">
        <v>149</v>
      </c>
      <c r="B41" s="57">
        <f>B40*90/100</f>
        <v>1599.2190000000001</v>
      </c>
      <c r="E41" s="105" t="s">
        <v>112</v>
      </c>
      <c r="F41" s="107"/>
      <c r="G41" s="10" t="s">
        <v>110</v>
      </c>
      <c r="H41" s="10" t="s">
        <v>111</v>
      </c>
    </row>
    <row r="42" spans="1:8" x14ac:dyDescent="0.25">
      <c r="E42" s="105"/>
      <c r="F42" s="106"/>
      <c r="G42" s="73">
        <v>141.15</v>
      </c>
      <c r="H42" s="69">
        <v>127.04</v>
      </c>
    </row>
  </sheetData>
  <sheetProtection algorithmName="SHA-512" hashValue="MhGW1lm06Sfxes5zcU4j+1AlAsBwQ4rNl32TSRYje1jLkICMljjNgHCZtjAuq7w8Oh5duiF04UDv+OSTpvv63Q==" saltValue="C4e5PTynQLyygcnDUbdenA==" spinCount="100000" sheet="1" formatCells="0"/>
  <mergeCells count="16">
    <mergeCell ref="E42:F42"/>
    <mergeCell ref="E41:F41"/>
    <mergeCell ref="A1:H1"/>
    <mergeCell ref="B24:C24"/>
    <mergeCell ref="A17:A21"/>
    <mergeCell ref="F24:H24"/>
    <mergeCell ref="G33:H33"/>
    <mergeCell ref="A38:B38"/>
    <mergeCell ref="E32:F32"/>
    <mergeCell ref="E33:F33"/>
    <mergeCell ref="E34:F34"/>
    <mergeCell ref="E35:F35"/>
    <mergeCell ref="E37:F37"/>
    <mergeCell ref="E38:F38"/>
    <mergeCell ref="E36:F36"/>
    <mergeCell ref="E39:F39"/>
  </mergeCells>
  <pageMargins left="0.70866141732283472" right="0.70866141732283472" top="0.74803149606299213" bottom="0.74803149606299213" header="0.31496062992125984" footer="0.31496062992125984"/>
  <pageSetup paperSize="8" scale="99" orientation="landscape" r:id="rId1"/>
  <headerFooter>
    <oddHeader>&amp;LRetribuciones Personal Docente Laboral 2023&amp;CLey 31/2022, de 23 de diciembre, de Presupuestos Generales del Estado para el año 2023. (incluye incremento del 2,5% + 0,5% IPCA+ 0,5% PIB)</oddHeader>
    <oddFooter>&amp;LUniversidad de Granada&amp;R&amp;P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10" zoomScale="110" zoomScaleNormal="110" workbookViewId="0">
      <selection activeCell="H46" sqref="H46"/>
    </sheetView>
  </sheetViews>
  <sheetFormatPr baseColWidth="10" defaultColWidth="8" defaultRowHeight="12.75" x14ac:dyDescent="0.25"/>
  <cols>
    <col min="1" max="1" width="33.85546875" style="47" customWidth="1"/>
    <col min="2" max="2" width="5" style="47" customWidth="1"/>
    <col min="3" max="4" width="9" style="47" customWidth="1"/>
    <col min="5" max="6" width="10.85546875" style="47" customWidth="1"/>
    <col min="7" max="7" width="9" style="47" customWidth="1"/>
    <col min="8" max="8" width="10.85546875" style="47" customWidth="1"/>
    <col min="9" max="9" width="8" style="47" customWidth="1"/>
    <col min="10" max="10" width="6.85546875" style="47" customWidth="1"/>
    <col min="11" max="11" width="9.85546875" style="47" customWidth="1"/>
    <col min="12" max="12" width="9" style="47" customWidth="1"/>
    <col min="13" max="14" width="10.85546875" style="47" customWidth="1"/>
    <col min="15" max="15" width="6.85546875" style="47" customWidth="1"/>
    <col min="16" max="16384" width="8" style="47"/>
  </cols>
  <sheetData>
    <row r="1" spans="1:16" s="43" customFormat="1" ht="24" customHeight="1" x14ac:dyDescent="0.25">
      <c r="A1" s="120" t="s">
        <v>152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2"/>
      <c r="O1" s="42"/>
    </row>
    <row r="2" spans="1:16" ht="14.1" customHeight="1" x14ac:dyDescent="0.2">
      <c r="A2" s="123" t="s">
        <v>7</v>
      </c>
      <c r="B2" s="44" t="s">
        <v>114</v>
      </c>
      <c r="C2" s="125" t="s">
        <v>8</v>
      </c>
      <c r="D2" s="126"/>
      <c r="E2" s="127"/>
      <c r="F2" s="128" t="s">
        <v>115</v>
      </c>
      <c r="G2" s="129"/>
      <c r="H2" s="130"/>
      <c r="I2" s="131" t="s">
        <v>116</v>
      </c>
      <c r="J2" s="132"/>
      <c r="K2" s="133"/>
      <c r="L2" s="125" t="s">
        <v>117</v>
      </c>
      <c r="M2" s="127"/>
      <c r="N2" s="45" t="s">
        <v>121</v>
      </c>
      <c r="O2" s="46"/>
    </row>
    <row r="3" spans="1:16" ht="14.1" customHeight="1" x14ac:dyDescent="0.2">
      <c r="A3" s="124"/>
      <c r="B3" s="48" t="s">
        <v>118</v>
      </c>
      <c r="C3" s="45" t="s">
        <v>119</v>
      </c>
      <c r="D3" s="45" t="s">
        <v>120</v>
      </c>
      <c r="E3" s="45" t="s">
        <v>121</v>
      </c>
      <c r="F3" s="45" t="s">
        <v>122</v>
      </c>
      <c r="G3" s="45" t="s">
        <v>120</v>
      </c>
      <c r="H3" s="45" t="s">
        <v>121</v>
      </c>
      <c r="I3" s="45" t="s">
        <v>119</v>
      </c>
      <c r="J3" s="45" t="s">
        <v>120</v>
      </c>
      <c r="K3" s="45" t="s">
        <v>121</v>
      </c>
      <c r="L3" s="45" t="s">
        <v>120</v>
      </c>
      <c r="M3" s="45" t="s">
        <v>121</v>
      </c>
      <c r="N3" s="45" t="s">
        <v>151</v>
      </c>
      <c r="O3" s="46"/>
    </row>
    <row r="4" spans="1:16" ht="14.1" customHeight="1" x14ac:dyDescent="0.25">
      <c r="A4" s="74" t="s">
        <v>123</v>
      </c>
      <c r="B4" s="75"/>
      <c r="C4" s="75"/>
      <c r="D4" s="76"/>
      <c r="E4" s="75"/>
      <c r="F4" s="75"/>
      <c r="G4" s="76"/>
      <c r="H4" s="75"/>
      <c r="I4" s="75"/>
      <c r="J4" s="76"/>
      <c r="K4" s="75"/>
      <c r="L4" s="76"/>
      <c r="M4" s="75"/>
      <c r="N4" s="75"/>
      <c r="O4" s="46"/>
    </row>
    <row r="5" spans="1:16" ht="14.1" customHeight="1" x14ac:dyDescent="0.2">
      <c r="A5" s="134" t="s">
        <v>124</v>
      </c>
      <c r="B5" s="49" t="s">
        <v>125</v>
      </c>
      <c r="C5" s="77">
        <v>1300.8800000000001</v>
      </c>
      <c r="D5" s="78">
        <v>0</v>
      </c>
      <c r="E5" s="79">
        <f>C5+D5</f>
        <v>1300.8800000000001</v>
      </c>
      <c r="F5" s="77">
        <v>1019.22</v>
      </c>
      <c r="G5" s="78">
        <v>743.28</v>
      </c>
      <c r="H5" s="79">
        <f>F5+G5</f>
        <v>1762.5</v>
      </c>
      <c r="I5" s="77">
        <v>1149.1500000000001</v>
      </c>
      <c r="J5" s="78">
        <v>0</v>
      </c>
      <c r="K5" s="79">
        <f>I5+J5</f>
        <v>1149.1500000000001</v>
      </c>
      <c r="L5" s="77">
        <v>1587.26</v>
      </c>
      <c r="M5" s="79">
        <v>1587.26</v>
      </c>
      <c r="N5" s="79">
        <f>E5+H5+K5+M5</f>
        <v>5799.7900000000009</v>
      </c>
      <c r="O5" s="46"/>
    </row>
    <row r="6" spans="1:16" ht="14.1" customHeight="1" x14ac:dyDescent="0.2">
      <c r="A6" s="135"/>
      <c r="B6" s="49" t="s">
        <v>126</v>
      </c>
      <c r="C6" s="78">
        <v>563.54999999999995</v>
      </c>
      <c r="D6" s="78">
        <v>737.33</v>
      </c>
      <c r="E6" s="79">
        <f t="shared" ref="E6:E12" si="0">C6+D6</f>
        <v>1300.8800000000001</v>
      </c>
      <c r="F6" s="78">
        <v>939.34</v>
      </c>
      <c r="G6" s="78">
        <v>823.17</v>
      </c>
      <c r="H6" s="79">
        <f t="shared" ref="H6:H12" si="1">F6+G6</f>
        <v>1762.51</v>
      </c>
      <c r="I6" s="78">
        <v>0</v>
      </c>
      <c r="J6" s="78">
        <v>0</v>
      </c>
      <c r="K6" s="79">
        <f t="shared" ref="K6:K12" si="2">I6+J6</f>
        <v>0</v>
      </c>
      <c r="L6" s="77">
        <v>1587.26</v>
      </c>
      <c r="M6" s="79">
        <v>1587.26</v>
      </c>
      <c r="N6" s="79">
        <f t="shared" ref="N6:N12" si="3">E6+H6+K6+M6</f>
        <v>4650.6500000000005</v>
      </c>
      <c r="O6" s="46"/>
    </row>
    <row r="7" spans="1:16" ht="14.1" customHeight="1" x14ac:dyDescent="0.2">
      <c r="A7" s="134" t="s">
        <v>127</v>
      </c>
      <c r="B7" s="49" t="s">
        <v>125</v>
      </c>
      <c r="C7" s="77">
        <f>C5</f>
        <v>1300.8800000000001</v>
      </c>
      <c r="D7" s="78">
        <v>0</v>
      </c>
      <c r="E7" s="79">
        <f t="shared" si="0"/>
        <v>1300.8800000000001</v>
      </c>
      <c r="F7" s="77">
        <v>1019.22</v>
      </c>
      <c r="G7" s="78">
        <v>585.89</v>
      </c>
      <c r="H7" s="79">
        <f t="shared" si="1"/>
        <v>1605.1100000000001</v>
      </c>
      <c r="I7" s="77">
        <v>1149.1500000000001</v>
      </c>
      <c r="J7" s="78">
        <v>0</v>
      </c>
      <c r="K7" s="79">
        <f t="shared" si="2"/>
        <v>1149.1500000000001</v>
      </c>
      <c r="L7" s="77">
        <v>1615.01</v>
      </c>
      <c r="M7" s="79">
        <f t="shared" ref="M7:M12" si="4">L7</f>
        <v>1615.01</v>
      </c>
      <c r="N7" s="79">
        <f t="shared" si="3"/>
        <v>5670.1500000000005</v>
      </c>
      <c r="O7" s="46"/>
    </row>
    <row r="8" spans="1:16" ht="14.1" customHeight="1" x14ac:dyDescent="0.2">
      <c r="A8" s="135"/>
      <c r="B8" s="49" t="s">
        <v>126</v>
      </c>
      <c r="C8" s="78">
        <f>C6</f>
        <v>563.54999999999995</v>
      </c>
      <c r="D8" s="78">
        <f>D6</f>
        <v>737.33</v>
      </c>
      <c r="E8" s="79">
        <f t="shared" si="0"/>
        <v>1300.8800000000001</v>
      </c>
      <c r="F8" s="78">
        <v>939.34</v>
      </c>
      <c r="G8" s="78">
        <v>665.78</v>
      </c>
      <c r="H8" s="79">
        <f t="shared" si="1"/>
        <v>1605.12</v>
      </c>
      <c r="I8" s="78">
        <v>0</v>
      </c>
      <c r="J8" s="78">
        <v>0</v>
      </c>
      <c r="K8" s="79">
        <f t="shared" si="2"/>
        <v>0</v>
      </c>
      <c r="L8" s="77">
        <v>1615.01</v>
      </c>
      <c r="M8" s="79">
        <f t="shared" si="4"/>
        <v>1615.01</v>
      </c>
      <c r="N8" s="79">
        <f t="shared" si="3"/>
        <v>4521.01</v>
      </c>
      <c r="O8" s="46"/>
    </row>
    <row r="9" spans="1:16" ht="14.1" customHeight="1" x14ac:dyDescent="0.2">
      <c r="A9" s="134" t="s">
        <v>128</v>
      </c>
      <c r="B9" s="49" t="s">
        <v>125</v>
      </c>
      <c r="C9" s="77">
        <f>C5</f>
        <v>1300.8800000000001</v>
      </c>
      <c r="D9" s="78">
        <v>0</v>
      </c>
      <c r="E9" s="79">
        <f t="shared" si="0"/>
        <v>1300.8800000000001</v>
      </c>
      <c r="F9" s="77">
        <v>1019.22</v>
      </c>
      <c r="G9" s="78">
        <v>456.67</v>
      </c>
      <c r="H9" s="79">
        <f t="shared" si="1"/>
        <v>1475.89</v>
      </c>
      <c r="I9" s="77">
        <v>1149.1500000000001</v>
      </c>
      <c r="J9" s="78">
        <v>0</v>
      </c>
      <c r="K9" s="79">
        <f t="shared" si="2"/>
        <v>1149.1500000000001</v>
      </c>
      <c r="L9" s="77">
        <v>1187.42</v>
      </c>
      <c r="M9" s="79">
        <f t="shared" si="4"/>
        <v>1187.42</v>
      </c>
      <c r="N9" s="79">
        <f t="shared" si="3"/>
        <v>5113.34</v>
      </c>
      <c r="O9" s="46"/>
    </row>
    <row r="10" spans="1:16" ht="14.1" customHeight="1" x14ac:dyDescent="0.2">
      <c r="A10" s="135"/>
      <c r="B10" s="49" t="s">
        <v>126</v>
      </c>
      <c r="C10" s="78">
        <f>C6</f>
        <v>563.54999999999995</v>
      </c>
      <c r="D10" s="78">
        <f>D6</f>
        <v>737.33</v>
      </c>
      <c r="E10" s="79">
        <f t="shared" si="0"/>
        <v>1300.8800000000001</v>
      </c>
      <c r="F10" s="78">
        <v>939.34</v>
      </c>
      <c r="G10" s="78">
        <v>536.54999999999995</v>
      </c>
      <c r="H10" s="79">
        <f t="shared" si="1"/>
        <v>1475.8899999999999</v>
      </c>
      <c r="I10" s="78">
        <v>0</v>
      </c>
      <c r="J10" s="78">
        <v>0</v>
      </c>
      <c r="K10" s="79">
        <f t="shared" si="2"/>
        <v>0</v>
      </c>
      <c r="L10" s="77">
        <v>1187.42</v>
      </c>
      <c r="M10" s="79">
        <f t="shared" si="4"/>
        <v>1187.42</v>
      </c>
      <c r="N10" s="79">
        <f t="shared" si="3"/>
        <v>3964.19</v>
      </c>
      <c r="O10" s="46"/>
    </row>
    <row r="11" spans="1:16" ht="14.1" customHeight="1" x14ac:dyDescent="0.2">
      <c r="A11" s="134" t="s">
        <v>129</v>
      </c>
      <c r="B11" s="49" t="s">
        <v>125</v>
      </c>
      <c r="C11" s="77">
        <f>C5</f>
        <v>1300.8800000000001</v>
      </c>
      <c r="D11" s="78">
        <v>0</v>
      </c>
      <c r="E11" s="79">
        <f t="shared" si="0"/>
        <v>1300.8800000000001</v>
      </c>
      <c r="F11" s="77">
        <v>1019.22</v>
      </c>
      <c r="G11" s="78">
        <v>366.83</v>
      </c>
      <c r="H11" s="79">
        <f t="shared" si="1"/>
        <v>1386.05</v>
      </c>
      <c r="I11" s="77">
        <v>1149.1500000000001</v>
      </c>
      <c r="J11" s="78">
        <v>0</v>
      </c>
      <c r="K11" s="79">
        <f t="shared" si="2"/>
        <v>1149.1500000000001</v>
      </c>
      <c r="L11" s="78">
        <v>873.18</v>
      </c>
      <c r="M11" s="79">
        <f t="shared" si="4"/>
        <v>873.18</v>
      </c>
      <c r="N11" s="79">
        <f t="shared" si="3"/>
        <v>4709.26</v>
      </c>
      <c r="O11" s="46"/>
    </row>
    <row r="12" spans="1:16" ht="14.1" customHeight="1" x14ac:dyDescent="0.2">
      <c r="A12" s="135"/>
      <c r="B12" s="49" t="s">
        <v>126</v>
      </c>
      <c r="C12" s="78">
        <f>C6</f>
        <v>563.54999999999995</v>
      </c>
      <c r="D12" s="78">
        <f>D6</f>
        <v>737.33</v>
      </c>
      <c r="E12" s="79">
        <f t="shared" si="0"/>
        <v>1300.8800000000001</v>
      </c>
      <c r="F12" s="78">
        <v>939.34</v>
      </c>
      <c r="G12" s="78">
        <v>446.72</v>
      </c>
      <c r="H12" s="79">
        <f t="shared" si="1"/>
        <v>1386.06</v>
      </c>
      <c r="I12" s="78">
        <v>0</v>
      </c>
      <c r="J12" s="78">
        <v>0</v>
      </c>
      <c r="K12" s="79">
        <f t="shared" si="2"/>
        <v>0</v>
      </c>
      <c r="L12" s="78">
        <v>873.18</v>
      </c>
      <c r="M12" s="79">
        <f t="shared" si="4"/>
        <v>873.18</v>
      </c>
      <c r="N12" s="79">
        <f t="shared" si="3"/>
        <v>3560.12</v>
      </c>
      <c r="O12" s="46"/>
    </row>
    <row r="13" spans="1:16" ht="14.1" customHeight="1" x14ac:dyDescent="0.2">
      <c r="A13" s="136" t="s">
        <v>130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  <c r="O13" s="46"/>
    </row>
    <row r="14" spans="1:16" ht="14.1" customHeight="1" x14ac:dyDescent="0.2">
      <c r="A14" s="134" t="s">
        <v>124</v>
      </c>
      <c r="B14" s="49" t="s">
        <v>125</v>
      </c>
      <c r="C14" s="77">
        <f>C5</f>
        <v>1300.8800000000001</v>
      </c>
      <c r="D14" s="78">
        <v>0</v>
      </c>
      <c r="E14" s="79">
        <f>C14+D14</f>
        <v>1300.8800000000001</v>
      </c>
      <c r="F14" s="78">
        <v>933.5</v>
      </c>
      <c r="G14" s="78">
        <v>652.94000000000005</v>
      </c>
      <c r="H14" s="79">
        <f>F14+G14</f>
        <v>1586.44</v>
      </c>
      <c r="I14" s="78">
        <v>536.11</v>
      </c>
      <c r="J14" s="78">
        <v>588.92999999999995</v>
      </c>
      <c r="K14" s="79">
        <f>I14+J14</f>
        <v>1125.04</v>
      </c>
      <c r="L14" s="77">
        <v>1587.26</v>
      </c>
      <c r="M14" s="79">
        <f>L14</f>
        <v>1587.26</v>
      </c>
      <c r="N14" s="79">
        <f>M14+K14+H14+E14</f>
        <v>5599.62</v>
      </c>
      <c r="O14" s="46"/>
    </row>
    <row r="15" spans="1:16" ht="14.1" customHeight="1" x14ac:dyDescent="0.2">
      <c r="A15" s="135"/>
      <c r="B15" s="49" t="s">
        <v>126</v>
      </c>
      <c r="C15" s="78">
        <f>C6</f>
        <v>563.54999999999995</v>
      </c>
      <c r="D15" s="78">
        <f>D6</f>
        <v>737.33</v>
      </c>
      <c r="E15" s="79">
        <f t="shared" ref="E15:E27" si="5">C15+D15</f>
        <v>1300.8800000000001</v>
      </c>
      <c r="F15" s="78">
        <v>636.64</v>
      </c>
      <c r="G15" s="78">
        <v>949.81</v>
      </c>
      <c r="H15" s="79">
        <f t="shared" ref="H15:H27" si="6">F15+G15</f>
        <v>1586.4499999999998</v>
      </c>
      <c r="I15" s="78">
        <v>0</v>
      </c>
      <c r="J15" s="78">
        <v>0</v>
      </c>
      <c r="K15" s="79">
        <f t="shared" ref="K15:K27" si="7">I15+J15</f>
        <v>0</v>
      </c>
      <c r="L15" s="77">
        <v>1587.26</v>
      </c>
      <c r="M15" s="79">
        <f t="shared" ref="M15:M27" si="8">L15</f>
        <v>1587.26</v>
      </c>
      <c r="N15" s="79">
        <f t="shared" ref="N15:N27" si="9">M15+K15+H15+E15</f>
        <v>4474.59</v>
      </c>
      <c r="O15" s="46"/>
    </row>
    <row r="16" spans="1:16" ht="14.1" customHeight="1" x14ac:dyDescent="0.2">
      <c r="A16" s="134" t="s">
        <v>127</v>
      </c>
      <c r="B16" s="49" t="s">
        <v>125</v>
      </c>
      <c r="C16" s="77">
        <f>C5</f>
        <v>1300.8800000000001</v>
      </c>
      <c r="D16" s="78">
        <v>0</v>
      </c>
      <c r="E16" s="79">
        <f t="shared" si="5"/>
        <v>1300.8800000000001</v>
      </c>
      <c r="F16" s="78">
        <v>933.5</v>
      </c>
      <c r="G16" s="78">
        <v>495.54</v>
      </c>
      <c r="H16" s="79">
        <f t="shared" si="6"/>
        <v>1429.04</v>
      </c>
      <c r="I16" s="78">
        <v>536.11</v>
      </c>
      <c r="J16" s="78">
        <v>588.92999999999995</v>
      </c>
      <c r="K16" s="79">
        <f t="shared" si="7"/>
        <v>1125.04</v>
      </c>
      <c r="L16" s="77">
        <v>1615.01</v>
      </c>
      <c r="M16" s="79">
        <f t="shared" si="8"/>
        <v>1615.01</v>
      </c>
      <c r="N16" s="79">
        <f t="shared" si="9"/>
        <v>5469.97</v>
      </c>
      <c r="O16" s="46"/>
      <c r="P16" s="50"/>
    </row>
    <row r="17" spans="1:15" ht="14.1" customHeight="1" x14ac:dyDescent="0.2">
      <c r="A17" s="135"/>
      <c r="B17" s="49" t="s">
        <v>126</v>
      </c>
      <c r="C17" s="78">
        <f>C6</f>
        <v>563.54999999999995</v>
      </c>
      <c r="D17" s="78">
        <f>D6</f>
        <v>737.33</v>
      </c>
      <c r="E17" s="79">
        <f t="shared" si="5"/>
        <v>1300.8800000000001</v>
      </c>
      <c r="F17" s="78">
        <v>636.64</v>
      </c>
      <c r="G17" s="78">
        <v>792.41</v>
      </c>
      <c r="H17" s="79">
        <f t="shared" si="6"/>
        <v>1429.05</v>
      </c>
      <c r="I17" s="78">
        <v>0</v>
      </c>
      <c r="J17" s="78">
        <v>0</v>
      </c>
      <c r="K17" s="79">
        <f t="shared" si="7"/>
        <v>0</v>
      </c>
      <c r="L17" s="77">
        <v>1615.01</v>
      </c>
      <c r="M17" s="79">
        <f t="shared" si="8"/>
        <v>1615.01</v>
      </c>
      <c r="N17" s="79">
        <f t="shared" si="9"/>
        <v>4344.9400000000005</v>
      </c>
      <c r="O17" s="46"/>
    </row>
    <row r="18" spans="1:15" ht="14.1" customHeight="1" x14ac:dyDescent="0.2">
      <c r="A18" s="134" t="s">
        <v>128</v>
      </c>
      <c r="B18" s="49" t="s">
        <v>125</v>
      </c>
      <c r="C18" s="77">
        <f>C5</f>
        <v>1300.8800000000001</v>
      </c>
      <c r="D18" s="78">
        <v>0</v>
      </c>
      <c r="E18" s="79">
        <f t="shared" si="5"/>
        <v>1300.8800000000001</v>
      </c>
      <c r="F18" s="78">
        <v>933.5</v>
      </c>
      <c r="G18" s="78">
        <v>366.36</v>
      </c>
      <c r="H18" s="79">
        <f t="shared" si="6"/>
        <v>1299.8600000000001</v>
      </c>
      <c r="I18" s="78">
        <v>536.11</v>
      </c>
      <c r="J18" s="78">
        <v>482.31</v>
      </c>
      <c r="K18" s="79">
        <f t="shared" si="7"/>
        <v>1018.4200000000001</v>
      </c>
      <c r="L18" s="77">
        <v>1187.42</v>
      </c>
      <c r="M18" s="79">
        <f t="shared" si="8"/>
        <v>1187.42</v>
      </c>
      <c r="N18" s="79">
        <f t="shared" si="9"/>
        <v>4806.58</v>
      </c>
      <c r="O18" s="46"/>
    </row>
    <row r="19" spans="1:15" ht="14.1" customHeight="1" x14ac:dyDescent="0.2">
      <c r="A19" s="135"/>
      <c r="B19" s="49" t="s">
        <v>126</v>
      </c>
      <c r="C19" s="78">
        <f>C6</f>
        <v>563.54999999999995</v>
      </c>
      <c r="D19" s="78">
        <f>D6</f>
        <v>737.33</v>
      </c>
      <c r="E19" s="79">
        <f t="shared" si="5"/>
        <v>1300.8800000000001</v>
      </c>
      <c r="F19" s="78">
        <v>636.64</v>
      </c>
      <c r="G19" s="78">
        <v>663.22</v>
      </c>
      <c r="H19" s="79">
        <f t="shared" si="6"/>
        <v>1299.8600000000001</v>
      </c>
      <c r="I19" s="78">
        <v>0</v>
      </c>
      <c r="J19" s="78">
        <v>0</v>
      </c>
      <c r="K19" s="79">
        <f t="shared" si="7"/>
        <v>0</v>
      </c>
      <c r="L19" s="77">
        <v>1187.42</v>
      </c>
      <c r="M19" s="79">
        <f t="shared" si="8"/>
        <v>1187.42</v>
      </c>
      <c r="N19" s="79">
        <f t="shared" si="9"/>
        <v>3788.1600000000003</v>
      </c>
      <c r="O19" s="46"/>
    </row>
    <row r="20" spans="1:15" ht="14.1" customHeight="1" x14ac:dyDescent="0.25">
      <c r="A20" s="134" t="s">
        <v>129</v>
      </c>
      <c r="B20" s="49" t="s">
        <v>125</v>
      </c>
      <c r="C20" s="77">
        <f>C5</f>
        <v>1300.8800000000001</v>
      </c>
      <c r="D20" s="78">
        <v>0</v>
      </c>
      <c r="E20" s="79">
        <f t="shared" si="5"/>
        <v>1300.8800000000001</v>
      </c>
      <c r="F20" s="78">
        <v>933.5</v>
      </c>
      <c r="G20" s="78">
        <v>276.52999999999997</v>
      </c>
      <c r="H20" s="79">
        <f t="shared" si="6"/>
        <v>1210.03</v>
      </c>
      <c r="I20" s="78">
        <v>536.11</v>
      </c>
      <c r="J20" s="78">
        <v>385.8</v>
      </c>
      <c r="K20" s="79">
        <f t="shared" si="7"/>
        <v>921.91000000000008</v>
      </c>
      <c r="L20" s="78">
        <v>873.18</v>
      </c>
      <c r="M20" s="79">
        <f t="shared" si="8"/>
        <v>873.18</v>
      </c>
      <c r="N20" s="79">
        <f t="shared" si="9"/>
        <v>4306</v>
      </c>
      <c r="O20" s="42"/>
    </row>
    <row r="21" spans="1:15" ht="14.1" customHeight="1" x14ac:dyDescent="0.2">
      <c r="A21" s="135"/>
      <c r="B21" s="49" t="s">
        <v>126</v>
      </c>
      <c r="C21" s="78">
        <f>C6</f>
        <v>563.54999999999995</v>
      </c>
      <c r="D21" s="78">
        <f>D6</f>
        <v>737.33</v>
      </c>
      <c r="E21" s="79">
        <f t="shared" si="5"/>
        <v>1300.8800000000001</v>
      </c>
      <c r="F21" s="78">
        <v>636.64</v>
      </c>
      <c r="G21" s="78">
        <v>573.39</v>
      </c>
      <c r="H21" s="79">
        <f t="shared" si="6"/>
        <v>1210.03</v>
      </c>
      <c r="I21" s="78">
        <v>0</v>
      </c>
      <c r="J21" s="78">
        <v>0</v>
      </c>
      <c r="K21" s="79">
        <f t="shared" si="7"/>
        <v>0</v>
      </c>
      <c r="L21" s="78">
        <v>873.18</v>
      </c>
      <c r="M21" s="79">
        <f t="shared" si="8"/>
        <v>873.18</v>
      </c>
      <c r="N21" s="79">
        <f t="shared" si="9"/>
        <v>3384.09</v>
      </c>
      <c r="O21" s="46"/>
    </row>
    <row r="22" spans="1:15" ht="14.1" customHeight="1" x14ac:dyDescent="0.2">
      <c r="A22" s="134" t="s">
        <v>131</v>
      </c>
      <c r="B22" s="49" t="s">
        <v>125</v>
      </c>
      <c r="C22" s="77">
        <f>C5</f>
        <v>1300.8800000000001</v>
      </c>
      <c r="D22" s="78">
        <v>0</v>
      </c>
      <c r="E22" s="79">
        <f t="shared" si="5"/>
        <v>1300.8800000000001</v>
      </c>
      <c r="F22" s="78">
        <v>933.5</v>
      </c>
      <c r="G22" s="78">
        <v>276.52999999999997</v>
      </c>
      <c r="H22" s="79">
        <f t="shared" si="6"/>
        <v>1210.03</v>
      </c>
      <c r="I22" s="78">
        <v>536.11</v>
      </c>
      <c r="J22" s="78">
        <v>439.94</v>
      </c>
      <c r="K22" s="79">
        <f t="shared" si="7"/>
        <v>976.05</v>
      </c>
      <c r="L22" s="78">
        <v>179.24</v>
      </c>
      <c r="M22" s="79">
        <f t="shared" si="8"/>
        <v>179.24</v>
      </c>
      <c r="N22" s="79">
        <f t="shared" si="9"/>
        <v>3666.2</v>
      </c>
      <c r="O22" s="46"/>
    </row>
    <row r="23" spans="1:15" ht="14.1" customHeight="1" x14ac:dyDescent="0.2">
      <c r="A23" s="135"/>
      <c r="B23" s="49" t="s">
        <v>126</v>
      </c>
      <c r="C23" s="78">
        <f>C6</f>
        <v>563.54999999999995</v>
      </c>
      <c r="D23" s="78">
        <f>D6</f>
        <v>737.33</v>
      </c>
      <c r="E23" s="79">
        <f t="shared" si="5"/>
        <v>1300.8800000000001</v>
      </c>
      <c r="F23" s="78">
        <v>636.64</v>
      </c>
      <c r="G23" s="78">
        <v>573.39</v>
      </c>
      <c r="H23" s="79">
        <f t="shared" si="6"/>
        <v>1210.03</v>
      </c>
      <c r="I23" s="78">
        <v>0</v>
      </c>
      <c r="J23" s="78">
        <v>0</v>
      </c>
      <c r="K23" s="79">
        <f t="shared" si="7"/>
        <v>0</v>
      </c>
      <c r="L23" s="78">
        <v>179.24</v>
      </c>
      <c r="M23" s="79">
        <f t="shared" si="8"/>
        <v>179.24</v>
      </c>
      <c r="N23" s="79">
        <f t="shared" si="9"/>
        <v>2690.15</v>
      </c>
      <c r="O23" s="46"/>
    </row>
    <row r="24" spans="1:15" ht="14.1" customHeight="1" x14ac:dyDescent="0.2">
      <c r="A24" s="134" t="s">
        <v>132</v>
      </c>
      <c r="B24" s="49" t="s">
        <v>125</v>
      </c>
      <c r="C24" s="77">
        <f>C5</f>
        <v>1300.8800000000001</v>
      </c>
      <c r="D24" s="78">
        <v>0</v>
      </c>
      <c r="E24" s="79">
        <f t="shared" si="5"/>
        <v>1300.8800000000001</v>
      </c>
      <c r="F24" s="78">
        <v>933.5</v>
      </c>
      <c r="G24" s="78">
        <v>105.42</v>
      </c>
      <c r="H24" s="79">
        <f t="shared" si="6"/>
        <v>1038.92</v>
      </c>
      <c r="I24" s="78">
        <v>536.11</v>
      </c>
      <c r="J24" s="78">
        <v>163.85</v>
      </c>
      <c r="K24" s="79">
        <f t="shared" si="7"/>
        <v>699.96</v>
      </c>
      <c r="L24" s="78">
        <v>556.22</v>
      </c>
      <c r="M24" s="79">
        <f t="shared" si="8"/>
        <v>556.22</v>
      </c>
      <c r="N24" s="79">
        <f t="shared" si="9"/>
        <v>3595.9800000000005</v>
      </c>
      <c r="O24" s="46"/>
    </row>
    <row r="25" spans="1:15" ht="14.1" customHeight="1" x14ac:dyDescent="0.2">
      <c r="A25" s="135"/>
      <c r="B25" s="49" t="s">
        <v>126</v>
      </c>
      <c r="C25" s="78">
        <f>C6</f>
        <v>563.54999999999995</v>
      </c>
      <c r="D25" s="78">
        <f>D6</f>
        <v>737.33</v>
      </c>
      <c r="E25" s="79">
        <f t="shared" si="5"/>
        <v>1300.8800000000001</v>
      </c>
      <c r="F25" s="78">
        <v>636.64</v>
      </c>
      <c r="G25" s="78">
        <v>426.23</v>
      </c>
      <c r="H25" s="79">
        <f t="shared" si="6"/>
        <v>1062.8699999999999</v>
      </c>
      <c r="I25" s="78">
        <v>0</v>
      </c>
      <c r="J25" s="78">
        <v>0</v>
      </c>
      <c r="K25" s="79">
        <f t="shared" si="7"/>
        <v>0</v>
      </c>
      <c r="L25" s="78">
        <v>556.22</v>
      </c>
      <c r="M25" s="79">
        <f t="shared" si="8"/>
        <v>556.22</v>
      </c>
      <c r="N25" s="79">
        <f t="shared" si="9"/>
        <v>2919.9700000000003</v>
      </c>
      <c r="O25" s="46"/>
    </row>
    <row r="26" spans="1:15" ht="14.1" customHeight="1" x14ac:dyDescent="0.2">
      <c r="A26" s="134" t="s">
        <v>133</v>
      </c>
      <c r="B26" s="49" t="s">
        <v>125</v>
      </c>
      <c r="C26" s="77">
        <f>C5</f>
        <v>1300.8800000000001</v>
      </c>
      <c r="D26" s="78">
        <v>0</v>
      </c>
      <c r="E26" s="79">
        <f t="shared" si="5"/>
        <v>1300.8800000000001</v>
      </c>
      <c r="F26" s="78">
        <v>933.5</v>
      </c>
      <c r="G26" s="78">
        <v>0</v>
      </c>
      <c r="H26" s="79">
        <f t="shared" si="6"/>
        <v>933.5</v>
      </c>
      <c r="I26" s="78">
        <v>536.11</v>
      </c>
      <c r="J26" s="78">
        <v>36.06</v>
      </c>
      <c r="K26" s="79">
        <f t="shared" si="7"/>
        <v>572.17000000000007</v>
      </c>
      <c r="L26" s="78">
        <v>519.83000000000004</v>
      </c>
      <c r="M26" s="79">
        <f t="shared" si="8"/>
        <v>519.83000000000004</v>
      </c>
      <c r="N26" s="79">
        <f t="shared" si="9"/>
        <v>3326.38</v>
      </c>
      <c r="O26" s="46"/>
    </row>
    <row r="27" spans="1:15" ht="14.1" customHeight="1" x14ac:dyDescent="0.2">
      <c r="A27" s="135"/>
      <c r="B27" s="49" t="s">
        <v>126</v>
      </c>
      <c r="C27" s="78">
        <f>C6</f>
        <v>563.54999999999995</v>
      </c>
      <c r="D27" s="78">
        <f>D6</f>
        <v>737.33</v>
      </c>
      <c r="E27" s="79">
        <f t="shared" si="5"/>
        <v>1300.8800000000001</v>
      </c>
      <c r="F27" s="78">
        <v>636.64</v>
      </c>
      <c r="G27" s="78">
        <v>320.77999999999997</v>
      </c>
      <c r="H27" s="79">
        <f t="shared" si="6"/>
        <v>957.42</v>
      </c>
      <c r="I27" s="78">
        <v>0</v>
      </c>
      <c r="J27" s="78">
        <v>0</v>
      </c>
      <c r="K27" s="79">
        <f t="shared" si="7"/>
        <v>0</v>
      </c>
      <c r="L27" s="78">
        <v>519.83000000000004</v>
      </c>
      <c r="M27" s="79">
        <f t="shared" si="8"/>
        <v>519.83000000000004</v>
      </c>
      <c r="N27" s="79">
        <f t="shared" si="9"/>
        <v>2778.13</v>
      </c>
      <c r="O27" s="46"/>
    </row>
    <row r="28" spans="1:15" ht="14.1" customHeight="1" x14ac:dyDescent="0.2">
      <c r="A28" s="136" t="s">
        <v>134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  <c r="O28" s="46"/>
    </row>
    <row r="29" spans="1:15" ht="14.1" customHeight="1" x14ac:dyDescent="0.2">
      <c r="A29" s="134" t="s">
        <v>124</v>
      </c>
      <c r="B29" s="49" t="s">
        <v>125</v>
      </c>
      <c r="C29" s="77">
        <f>C5</f>
        <v>1300.8800000000001</v>
      </c>
      <c r="D29" s="78">
        <v>0</v>
      </c>
      <c r="E29" s="79">
        <f>C29+D29</f>
        <v>1300.8800000000001</v>
      </c>
      <c r="F29" s="78">
        <v>819</v>
      </c>
      <c r="G29" s="78">
        <v>641.77</v>
      </c>
      <c r="H29" s="79">
        <f>F29+G29</f>
        <v>1460.77</v>
      </c>
      <c r="I29" s="78">
        <v>330.98</v>
      </c>
      <c r="J29" s="78">
        <v>794.11</v>
      </c>
      <c r="K29" s="79">
        <f>I29+J29</f>
        <v>1125.0900000000001</v>
      </c>
      <c r="L29" s="77">
        <v>1587.26</v>
      </c>
      <c r="M29" s="79">
        <f>L29</f>
        <v>1587.26</v>
      </c>
      <c r="N29" s="79">
        <f>M29+K29+H29+E29</f>
        <v>5474.0000000000009</v>
      </c>
      <c r="O29" s="46"/>
    </row>
    <row r="30" spans="1:15" ht="14.1" customHeight="1" x14ac:dyDescent="0.2">
      <c r="A30" s="135"/>
      <c r="B30" s="49" t="s">
        <v>126</v>
      </c>
      <c r="C30" s="78">
        <f>C6</f>
        <v>563.54999999999995</v>
      </c>
      <c r="D30" s="78">
        <f>D6</f>
        <v>737.33</v>
      </c>
      <c r="E30" s="79">
        <f t="shared" ref="E30:E36" si="10">C30+D30</f>
        <v>1300.8800000000001</v>
      </c>
      <c r="F30" s="78">
        <v>498.17</v>
      </c>
      <c r="G30" s="78">
        <v>962.6</v>
      </c>
      <c r="H30" s="79">
        <f t="shared" ref="H30:H36" si="11">F30+G30</f>
        <v>1460.77</v>
      </c>
      <c r="I30" s="78">
        <v>0</v>
      </c>
      <c r="J30" s="78">
        <v>0</v>
      </c>
      <c r="K30" s="79">
        <f t="shared" ref="K30:K36" si="12">I30+J30</f>
        <v>0</v>
      </c>
      <c r="L30" s="77">
        <v>1587.26</v>
      </c>
      <c r="M30" s="79">
        <f t="shared" ref="M30:M36" si="13">L30</f>
        <v>1587.26</v>
      </c>
      <c r="N30" s="79">
        <f t="shared" ref="N30:N36" si="14">M30+K30+H30+E30</f>
        <v>4348.91</v>
      </c>
      <c r="O30" s="46"/>
    </row>
    <row r="31" spans="1:15" ht="14.1" customHeight="1" x14ac:dyDescent="0.2">
      <c r="A31" s="134" t="s">
        <v>127</v>
      </c>
      <c r="B31" s="49" t="s">
        <v>125</v>
      </c>
      <c r="C31" s="77">
        <f>C5</f>
        <v>1300.8800000000001</v>
      </c>
      <c r="D31" s="78">
        <v>0</v>
      </c>
      <c r="E31" s="79">
        <f t="shared" si="10"/>
        <v>1300.8800000000001</v>
      </c>
      <c r="F31" s="78">
        <v>819</v>
      </c>
      <c r="G31" s="78">
        <v>484.34</v>
      </c>
      <c r="H31" s="79">
        <f t="shared" si="11"/>
        <v>1303.3399999999999</v>
      </c>
      <c r="I31" s="78">
        <v>330.98</v>
      </c>
      <c r="J31" s="78">
        <v>794.11</v>
      </c>
      <c r="K31" s="79">
        <f t="shared" si="12"/>
        <v>1125.0900000000001</v>
      </c>
      <c r="L31" s="77">
        <v>1615.01</v>
      </c>
      <c r="M31" s="79">
        <f t="shared" si="13"/>
        <v>1615.01</v>
      </c>
      <c r="N31" s="79">
        <f t="shared" si="14"/>
        <v>5344.3200000000006</v>
      </c>
      <c r="O31" s="46"/>
    </row>
    <row r="32" spans="1:15" ht="14.1" customHeight="1" x14ac:dyDescent="0.2">
      <c r="A32" s="135"/>
      <c r="B32" s="49" t="s">
        <v>126</v>
      </c>
      <c r="C32" s="78">
        <f>C6</f>
        <v>563.54999999999995</v>
      </c>
      <c r="D32" s="78">
        <f>D6</f>
        <v>737.33</v>
      </c>
      <c r="E32" s="79">
        <f t="shared" si="10"/>
        <v>1300.8800000000001</v>
      </c>
      <c r="F32" s="78">
        <v>498.17</v>
      </c>
      <c r="G32" s="78">
        <v>805.17</v>
      </c>
      <c r="H32" s="79">
        <f t="shared" si="11"/>
        <v>1303.3399999999999</v>
      </c>
      <c r="I32" s="78">
        <v>0</v>
      </c>
      <c r="J32" s="78">
        <v>0</v>
      </c>
      <c r="K32" s="79">
        <f t="shared" si="12"/>
        <v>0</v>
      </c>
      <c r="L32" s="77">
        <v>1615.01</v>
      </c>
      <c r="M32" s="79">
        <f t="shared" si="13"/>
        <v>1615.01</v>
      </c>
      <c r="N32" s="79">
        <f t="shared" si="14"/>
        <v>4219.2299999999996</v>
      </c>
      <c r="O32" s="46"/>
    </row>
    <row r="33" spans="1:15" ht="14.1" customHeight="1" x14ac:dyDescent="0.2">
      <c r="A33" s="134" t="s">
        <v>128</v>
      </c>
      <c r="B33" s="49" t="s">
        <v>125</v>
      </c>
      <c r="C33" s="77">
        <f>C5</f>
        <v>1300.8800000000001</v>
      </c>
      <c r="D33" s="78">
        <v>0</v>
      </c>
      <c r="E33" s="79">
        <f t="shared" si="10"/>
        <v>1300.8800000000001</v>
      </c>
      <c r="F33" s="78">
        <v>819</v>
      </c>
      <c r="G33" s="78">
        <v>355.17</v>
      </c>
      <c r="H33" s="79">
        <f t="shared" si="11"/>
        <v>1174.17</v>
      </c>
      <c r="I33" s="78">
        <v>330.98</v>
      </c>
      <c r="J33" s="78">
        <v>687.44</v>
      </c>
      <c r="K33" s="79">
        <f t="shared" si="12"/>
        <v>1018.4200000000001</v>
      </c>
      <c r="L33" s="77">
        <v>1187.42</v>
      </c>
      <c r="M33" s="79">
        <f t="shared" si="13"/>
        <v>1187.42</v>
      </c>
      <c r="N33" s="79">
        <f t="shared" si="14"/>
        <v>4680.8900000000003</v>
      </c>
      <c r="O33" s="46"/>
    </row>
    <row r="34" spans="1:15" ht="14.1" customHeight="1" x14ac:dyDescent="0.2">
      <c r="A34" s="135"/>
      <c r="B34" s="49" t="s">
        <v>126</v>
      </c>
      <c r="C34" s="78">
        <f>C6</f>
        <v>563.54999999999995</v>
      </c>
      <c r="D34" s="78">
        <f>D6</f>
        <v>737.33</v>
      </c>
      <c r="E34" s="79">
        <f t="shared" si="10"/>
        <v>1300.8800000000001</v>
      </c>
      <c r="F34" s="78">
        <v>498.17</v>
      </c>
      <c r="G34" s="78">
        <v>676</v>
      </c>
      <c r="H34" s="79">
        <f t="shared" si="11"/>
        <v>1174.17</v>
      </c>
      <c r="I34" s="78">
        <v>0</v>
      </c>
      <c r="J34" s="78">
        <v>0</v>
      </c>
      <c r="K34" s="79">
        <f t="shared" si="12"/>
        <v>0</v>
      </c>
      <c r="L34" s="77">
        <v>1187.42</v>
      </c>
      <c r="M34" s="79">
        <f t="shared" si="13"/>
        <v>1187.42</v>
      </c>
      <c r="N34" s="79">
        <f t="shared" si="14"/>
        <v>3662.4700000000003</v>
      </c>
      <c r="O34" s="46"/>
    </row>
    <row r="35" spans="1:15" ht="14.1" customHeight="1" x14ac:dyDescent="0.2">
      <c r="A35" s="134" t="s">
        <v>129</v>
      </c>
      <c r="B35" s="49" t="s">
        <v>125</v>
      </c>
      <c r="C35" s="77">
        <f>C5</f>
        <v>1300.8800000000001</v>
      </c>
      <c r="D35" s="78">
        <v>0</v>
      </c>
      <c r="E35" s="79">
        <f t="shared" si="10"/>
        <v>1300.8800000000001</v>
      </c>
      <c r="F35" s="78">
        <v>819</v>
      </c>
      <c r="G35" s="78">
        <v>265.31</v>
      </c>
      <c r="H35" s="79">
        <f t="shared" si="11"/>
        <v>1084.31</v>
      </c>
      <c r="I35" s="78">
        <v>330.98</v>
      </c>
      <c r="J35" s="78">
        <v>590.95000000000005</v>
      </c>
      <c r="K35" s="79">
        <f t="shared" si="12"/>
        <v>921.93000000000006</v>
      </c>
      <c r="L35" s="78">
        <v>873.18</v>
      </c>
      <c r="M35" s="79">
        <f t="shared" si="13"/>
        <v>873.18</v>
      </c>
      <c r="N35" s="79">
        <f t="shared" si="14"/>
        <v>4180.3</v>
      </c>
      <c r="O35" s="46"/>
    </row>
    <row r="36" spans="1:15" ht="14.1" customHeight="1" x14ac:dyDescent="0.2">
      <c r="A36" s="135"/>
      <c r="B36" s="49" t="s">
        <v>126</v>
      </c>
      <c r="C36" s="78">
        <f>C6</f>
        <v>563.54999999999995</v>
      </c>
      <c r="D36" s="78">
        <f>D6</f>
        <v>737.33</v>
      </c>
      <c r="E36" s="79">
        <f t="shared" si="10"/>
        <v>1300.8800000000001</v>
      </c>
      <c r="F36" s="78">
        <v>498.17</v>
      </c>
      <c r="G36" s="78">
        <v>586.14</v>
      </c>
      <c r="H36" s="79">
        <f t="shared" si="11"/>
        <v>1084.31</v>
      </c>
      <c r="I36" s="78">
        <v>0</v>
      </c>
      <c r="J36" s="78">
        <v>0</v>
      </c>
      <c r="K36" s="79">
        <f t="shared" si="12"/>
        <v>0</v>
      </c>
      <c r="L36" s="78">
        <v>873.18</v>
      </c>
      <c r="M36" s="79">
        <f t="shared" si="13"/>
        <v>873.18</v>
      </c>
      <c r="N36" s="79">
        <f t="shared" si="14"/>
        <v>3258.37</v>
      </c>
      <c r="O36" s="46"/>
    </row>
    <row r="37" spans="1:15" ht="14.1" customHeight="1" x14ac:dyDescent="0.2">
      <c r="A37" s="136" t="s">
        <v>135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8"/>
      <c r="O37" s="46"/>
    </row>
    <row r="38" spans="1:15" ht="14.1" customHeight="1" x14ac:dyDescent="0.2">
      <c r="A38" s="134" t="s">
        <v>132</v>
      </c>
      <c r="B38" s="49" t="s">
        <v>125</v>
      </c>
      <c r="C38" s="77">
        <f>C5</f>
        <v>1300.8800000000001</v>
      </c>
      <c r="D38" s="78">
        <v>0</v>
      </c>
      <c r="E38" s="79">
        <f>C38+D38</f>
        <v>1300.8800000000001</v>
      </c>
      <c r="F38" s="78">
        <v>819</v>
      </c>
      <c r="G38" s="78">
        <v>105.43</v>
      </c>
      <c r="H38" s="80">
        <f>F38+G38</f>
        <v>924.43000000000006</v>
      </c>
      <c r="I38" s="78">
        <v>330.98</v>
      </c>
      <c r="J38" s="78">
        <v>163.86</v>
      </c>
      <c r="K38" s="80">
        <f>I38+J38</f>
        <v>494.84000000000003</v>
      </c>
      <c r="L38" s="78">
        <v>556.22</v>
      </c>
      <c r="M38" s="80">
        <f>L38</f>
        <v>556.22</v>
      </c>
      <c r="N38" s="79">
        <f>M38+K38+H38+E38</f>
        <v>3276.37</v>
      </c>
      <c r="O38" s="46"/>
    </row>
    <row r="39" spans="1:15" ht="14.1" customHeight="1" x14ac:dyDescent="0.2">
      <c r="A39" s="135"/>
      <c r="B39" s="49" t="s">
        <v>126</v>
      </c>
      <c r="C39" s="78">
        <f>C6</f>
        <v>563.54999999999995</v>
      </c>
      <c r="D39" s="78">
        <f>D6</f>
        <v>737.33</v>
      </c>
      <c r="E39" s="79">
        <f t="shared" ref="E39:E41" si="15">C39+D39</f>
        <v>1300.8800000000001</v>
      </c>
      <c r="F39" s="78">
        <v>498.17</v>
      </c>
      <c r="G39" s="78">
        <v>426.26</v>
      </c>
      <c r="H39" s="80">
        <f t="shared" ref="H39:H41" si="16">F39+G39</f>
        <v>924.43000000000006</v>
      </c>
      <c r="I39" s="78">
        <v>0</v>
      </c>
      <c r="J39" s="78">
        <v>0</v>
      </c>
      <c r="K39" s="80">
        <f t="shared" ref="K39:K41" si="17">I39+J39</f>
        <v>0</v>
      </c>
      <c r="L39" s="78">
        <v>556.22</v>
      </c>
      <c r="M39" s="80">
        <f t="shared" ref="M39:M41" si="18">L39</f>
        <v>556.22</v>
      </c>
      <c r="N39" s="79">
        <f t="shared" ref="N39:N41" si="19">M39+K39+H39+E39</f>
        <v>2781.53</v>
      </c>
      <c r="O39" s="46"/>
    </row>
    <row r="40" spans="1:15" ht="14.1" customHeight="1" x14ac:dyDescent="0.2">
      <c r="A40" s="134" t="s">
        <v>133</v>
      </c>
      <c r="B40" s="49" t="s">
        <v>125</v>
      </c>
      <c r="C40" s="77">
        <f>C5</f>
        <v>1300.8800000000001</v>
      </c>
      <c r="D40" s="78">
        <v>0</v>
      </c>
      <c r="E40" s="79">
        <f t="shared" si="15"/>
        <v>1300.8800000000001</v>
      </c>
      <c r="F40" s="78">
        <v>819</v>
      </c>
      <c r="G40" s="78">
        <v>0</v>
      </c>
      <c r="H40" s="80">
        <f t="shared" si="16"/>
        <v>819</v>
      </c>
      <c r="I40" s="78">
        <v>330.98</v>
      </c>
      <c r="J40" s="78">
        <v>36.090000000000003</v>
      </c>
      <c r="K40" s="80">
        <f>I40+J40</f>
        <v>367.07000000000005</v>
      </c>
      <c r="L40" s="78">
        <v>519.83000000000004</v>
      </c>
      <c r="M40" s="80">
        <f t="shared" si="18"/>
        <v>519.83000000000004</v>
      </c>
      <c r="N40" s="79">
        <f t="shared" si="19"/>
        <v>3006.78</v>
      </c>
      <c r="O40" s="46"/>
    </row>
    <row r="41" spans="1:15" ht="14.1" customHeight="1" x14ac:dyDescent="0.2">
      <c r="A41" s="135"/>
      <c r="B41" s="49" t="s">
        <v>126</v>
      </c>
      <c r="C41" s="78">
        <f>C6</f>
        <v>563.54999999999995</v>
      </c>
      <c r="D41" s="78">
        <f>D6</f>
        <v>737.33</v>
      </c>
      <c r="E41" s="79">
        <f t="shared" si="15"/>
        <v>1300.8800000000001</v>
      </c>
      <c r="F41" s="78">
        <v>498.17</v>
      </c>
      <c r="G41" s="78">
        <v>320.83</v>
      </c>
      <c r="H41" s="80">
        <f t="shared" si="16"/>
        <v>819</v>
      </c>
      <c r="I41" s="78">
        <v>0</v>
      </c>
      <c r="J41" s="78">
        <v>0</v>
      </c>
      <c r="K41" s="80">
        <f t="shared" si="17"/>
        <v>0</v>
      </c>
      <c r="L41" s="78">
        <v>519.83000000000004</v>
      </c>
      <c r="M41" s="80">
        <f t="shared" si="18"/>
        <v>519.83000000000004</v>
      </c>
      <c r="N41" s="79">
        <f t="shared" si="19"/>
        <v>2639.71</v>
      </c>
      <c r="O41" s="46"/>
    </row>
    <row r="42" spans="1:15" ht="14.1" customHeight="1" x14ac:dyDescent="0.2">
      <c r="A42" s="139" t="s">
        <v>136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1"/>
      <c r="O42" s="46"/>
    </row>
    <row r="43" spans="1:15" ht="14.1" customHeight="1" x14ac:dyDescent="0.25">
      <c r="A43" s="51" t="s">
        <v>137</v>
      </c>
      <c r="B43" s="81"/>
      <c r="C43" s="52" t="s">
        <v>54</v>
      </c>
      <c r="D43" s="53" t="s">
        <v>138</v>
      </c>
      <c r="E43" s="53" t="s">
        <v>139</v>
      </c>
      <c r="F43" s="54" t="s">
        <v>140</v>
      </c>
      <c r="G43" s="54" t="s">
        <v>141</v>
      </c>
      <c r="H43" s="54" t="s">
        <v>142</v>
      </c>
      <c r="I43" s="81"/>
      <c r="J43" s="81"/>
      <c r="K43" s="81"/>
      <c r="L43" s="81"/>
      <c r="M43" s="81"/>
      <c r="N43" s="81"/>
      <c r="O43" s="46"/>
    </row>
    <row r="44" spans="1:15" ht="14.1" customHeight="1" x14ac:dyDescent="0.25">
      <c r="A44" s="55" t="s">
        <v>143</v>
      </c>
      <c r="B44" s="75"/>
      <c r="C44" s="56" t="s">
        <v>2</v>
      </c>
      <c r="D44" s="78">
        <v>96.65</v>
      </c>
      <c r="E44" s="78">
        <v>205.03</v>
      </c>
      <c r="F44" s="78">
        <v>410.05</v>
      </c>
      <c r="G44" s="78">
        <v>615.08000000000004</v>
      </c>
      <c r="H44" s="82">
        <v>820.1</v>
      </c>
      <c r="I44" s="75"/>
      <c r="J44" s="75"/>
      <c r="K44" s="75"/>
      <c r="L44" s="75"/>
      <c r="M44" s="75"/>
      <c r="N44" s="75"/>
      <c r="O44" s="46"/>
    </row>
    <row r="45" spans="1:15" ht="14.1" customHeight="1" x14ac:dyDescent="0.25">
      <c r="A45" s="55" t="s">
        <v>144</v>
      </c>
      <c r="B45" s="75"/>
      <c r="C45" s="56" t="s">
        <v>2</v>
      </c>
      <c r="D45" s="78">
        <v>80.56</v>
      </c>
      <c r="E45" s="78">
        <v>170.87</v>
      </c>
      <c r="F45" s="78">
        <v>341.7</v>
      </c>
      <c r="G45" s="78">
        <v>512.59</v>
      </c>
      <c r="H45" s="78">
        <v>683.44</v>
      </c>
      <c r="I45" s="75"/>
      <c r="J45" s="75"/>
      <c r="K45" s="75"/>
      <c r="L45" s="75"/>
      <c r="M45" s="75"/>
      <c r="N45" s="75"/>
      <c r="O45" s="46"/>
    </row>
    <row r="46" spans="1:15" ht="14.1" customHeight="1" x14ac:dyDescent="0.25">
      <c r="A46" s="55" t="s">
        <v>145</v>
      </c>
      <c r="B46" s="75"/>
      <c r="C46" s="56" t="s">
        <v>3</v>
      </c>
      <c r="D46" s="78">
        <v>62.83</v>
      </c>
      <c r="E46" s="78">
        <v>133.32</v>
      </c>
      <c r="F46" s="78">
        <v>266.52999999999997</v>
      </c>
      <c r="G46" s="78">
        <v>399.81</v>
      </c>
      <c r="H46" s="78">
        <v>533.04</v>
      </c>
      <c r="I46" s="75"/>
      <c r="J46" s="75"/>
      <c r="K46" s="75"/>
      <c r="L46" s="75"/>
      <c r="M46" s="75"/>
      <c r="N46" s="75"/>
      <c r="O46" s="46"/>
    </row>
  </sheetData>
  <sheetProtection password="CAB1" sheet="1" objects="1" scenarios="1" formatCells="0"/>
  <mergeCells count="27">
    <mergeCell ref="A38:A39"/>
    <mergeCell ref="A40:A41"/>
    <mergeCell ref="A42:N42"/>
    <mergeCell ref="A28:N28"/>
    <mergeCell ref="A29:A30"/>
    <mergeCell ref="A31:A32"/>
    <mergeCell ref="A33:A34"/>
    <mergeCell ref="A35:A36"/>
    <mergeCell ref="A37:N37"/>
    <mergeCell ref="A26:A27"/>
    <mergeCell ref="A5:A6"/>
    <mergeCell ref="A7:A8"/>
    <mergeCell ref="A9:A10"/>
    <mergeCell ref="A11:A12"/>
    <mergeCell ref="A13:N13"/>
    <mergeCell ref="A14:A15"/>
    <mergeCell ref="A16:A17"/>
    <mergeCell ref="A18:A19"/>
    <mergeCell ref="A20:A21"/>
    <mergeCell ref="A22:A23"/>
    <mergeCell ref="A24:A25"/>
    <mergeCell ref="A1:N1"/>
    <mergeCell ref="A2:A3"/>
    <mergeCell ref="C2:E2"/>
    <mergeCell ref="F2:H2"/>
    <mergeCell ref="I2:K2"/>
    <mergeCell ref="L2:M2"/>
  </mergeCells>
  <pageMargins left="0.7" right="0.7" top="0.75" bottom="0.75" header="0.3" footer="0.3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PDI Funcionario e Interino</vt:lpstr>
      <vt:lpstr>PDI Contratado LOU</vt:lpstr>
      <vt:lpstr>Plazas Vinculadas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2024-06-17T07:52:13Z</dcterms:modified>
</cp:coreProperties>
</file>