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PDI Funcionario e Interino" sheetId="9" r:id="rId1"/>
    <sheet name="PDI Contratado LOU" sheetId="6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6" l="1"/>
  <c r="G8" i="6"/>
  <c r="G18" i="6"/>
  <c r="G10" i="6"/>
  <c r="D10" i="6"/>
  <c r="G14" i="6"/>
  <c r="G51" i="9"/>
  <c r="G50" i="9"/>
  <c r="G49" i="9"/>
  <c r="G48" i="9"/>
  <c r="G47" i="9"/>
  <c r="G46" i="9"/>
  <c r="G45" i="9"/>
  <c r="G44" i="9"/>
  <c r="F22" i="9"/>
  <c r="D9" i="6"/>
  <c r="F9" i="6"/>
  <c r="D8" i="6"/>
  <c r="D7" i="6"/>
  <c r="G7" i="6"/>
  <c r="D6" i="6"/>
  <c r="G6" i="6"/>
  <c r="H14" i="9"/>
  <c r="H17" i="9"/>
  <c r="H8" i="9"/>
  <c r="H2" i="9"/>
  <c r="H4" i="9"/>
  <c r="C23" i="9"/>
  <c r="L6" i="9"/>
  <c r="L5" i="9"/>
  <c r="L4" i="9"/>
  <c r="L3" i="9"/>
  <c r="I6" i="9"/>
  <c r="I5" i="9"/>
  <c r="I4" i="9"/>
  <c r="I3" i="9"/>
  <c r="H18" i="9"/>
  <c r="H12" i="9"/>
  <c r="H11" i="9"/>
  <c r="H10" i="9"/>
  <c r="H9" i="9"/>
  <c r="H5" i="9"/>
  <c r="G6" i="9"/>
  <c r="J6" i="9"/>
  <c r="G5" i="9"/>
  <c r="G4" i="9"/>
  <c r="G3" i="9"/>
  <c r="E18" i="9"/>
  <c r="E17" i="9"/>
  <c r="E16" i="9"/>
  <c r="E12" i="9"/>
  <c r="E11" i="9"/>
  <c r="E10" i="9"/>
  <c r="E6" i="9"/>
  <c r="E5" i="9"/>
  <c r="E4" i="9"/>
  <c r="D18" i="9"/>
  <c r="D17" i="9"/>
  <c r="D12" i="9"/>
  <c r="D11" i="9"/>
  <c r="D6" i="9"/>
  <c r="C6" i="9"/>
  <c r="F6" i="9"/>
  <c r="D5" i="9"/>
  <c r="J5" i="9"/>
  <c r="C5" i="9"/>
  <c r="F5" i="9"/>
  <c r="C3" i="9"/>
  <c r="D16" i="9"/>
  <c r="D10" i="9"/>
  <c r="D4" i="9"/>
  <c r="C4" i="9"/>
  <c r="E15" i="9"/>
  <c r="E9" i="9"/>
  <c r="E3" i="9"/>
  <c r="D15" i="9"/>
  <c r="D9" i="9"/>
  <c r="D3" i="9"/>
  <c r="F27" i="9"/>
  <c r="C27" i="9"/>
  <c r="F26" i="9"/>
  <c r="C26" i="9"/>
  <c r="F25" i="9"/>
  <c r="C25" i="9"/>
  <c r="F24" i="9"/>
  <c r="C24" i="9"/>
  <c r="F23" i="9"/>
  <c r="L14" i="9"/>
  <c r="L8" i="9"/>
  <c r="L10" i="9"/>
  <c r="I14" i="9"/>
  <c r="I15" i="9"/>
  <c r="I8" i="9"/>
  <c r="I9" i="9"/>
  <c r="G14" i="9"/>
  <c r="G8" i="9"/>
  <c r="G10" i="9"/>
  <c r="J10" i="9"/>
  <c r="C14" i="9"/>
  <c r="C17" i="9"/>
  <c r="F17" i="9"/>
  <c r="C8" i="9"/>
  <c r="F8" i="9"/>
  <c r="J3" i="9"/>
  <c r="J2" i="9"/>
  <c r="F2" i="9"/>
  <c r="K2" i="9"/>
  <c r="L18" i="9"/>
  <c r="L16" i="9"/>
  <c r="L17" i="9"/>
  <c r="L15" i="9"/>
  <c r="I18" i="9"/>
  <c r="I16" i="9"/>
  <c r="I17" i="9"/>
  <c r="I12" i="9"/>
  <c r="I10" i="9"/>
  <c r="I11" i="9"/>
  <c r="G16" i="9"/>
  <c r="J16" i="9"/>
  <c r="G17" i="9"/>
  <c r="G15" i="9"/>
  <c r="J15" i="9"/>
  <c r="G18" i="9"/>
  <c r="J18" i="9"/>
  <c r="G11" i="9"/>
  <c r="J11" i="9"/>
  <c r="F14" i="9"/>
  <c r="C18" i="9"/>
  <c r="F18" i="9"/>
  <c r="C16" i="9"/>
  <c r="F16" i="9"/>
  <c r="C12" i="9"/>
  <c r="F12" i="9"/>
  <c r="C11" i="9"/>
  <c r="F11" i="9"/>
  <c r="J14" i="9"/>
  <c r="K14" i="9"/>
  <c r="C9" i="9"/>
  <c r="F9" i="9"/>
  <c r="F4" i="9"/>
  <c r="D21" i="6"/>
  <c r="G21" i="6"/>
  <c r="C21" i="6"/>
  <c r="F21" i="6"/>
  <c r="D20" i="6"/>
  <c r="G20" i="6"/>
  <c r="C20" i="6"/>
  <c r="D19" i="6"/>
  <c r="G19" i="6"/>
  <c r="C19" i="6"/>
  <c r="F19" i="6"/>
  <c r="D18" i="6"/>
  <c r="C18" i="6"/>
  <c r="D17" i="6"/>
  <c r="G17" i="6"/>
  <c r="C17" i="6"/>
  <c r="F17" i="6"/>
  <c r="D16" i="6"/>
  <c r="G16" i="6"/>
  <c r="C16" i="6"/>
  <c r="D13" i="6"/>
  <c r="C13" i="6"/>
  <c r="D12" i="6"/>
  <c r="C12" i="6"/>
  <c r="C11" i="6"/>
  <c r="F10" i="6"/>
  <c r="E8" i="6"/>
  <c r="E13" i="6"/>
  <c r="F13" i="6"/>
  <c r="C9" i="6"/>
  <c r="C6" i="6"/>
  <c r="F6" i="6"/>
  <c r="F11" i="6"/>
  <c r="F16" i="6"/>
  <c r="F18" i="6"/>
  <c r="F20" i="6"/>
  <c r="C7" i="6"/>
  <c r="C8" i="6"/>
  <c r="F8" i="6"/>
  <c r="C15" i="9"/>
  <c r="C10" i="9"/>
  <c r="F10" i="9"/>
  <c r="K10" i="9"/>
  <c r="L12" i="9"/>
  <c r="K11" i="9"/>
  <c r="J4" i="9"/>
  <c r="K4" i="9"/>
  <c r="K5" i="9"/>
  <c r="H6" i="9"/>
  <c r="J17" i="9"/>
  <c r="K17" i="9"/>
  <c r="H3" i="9"/>
  <c r="F3" i="9"/>
  <c r="K3" i="9"/>
  <c r="K18" i="9"/>
  <c r="F7" i="6"/>
  <c r="K6" i="9"/>
  <c r="G13" i="6"/>
  <c r="K16" i="9"/>
  <c r="E7" i="6"/>
  <c r="E12" i="6"/>
  <c r="C15" i="6"/>
  <c r="G12" i="9"/>
  <c r="J12" i="9"/>
  <c r="K12" i="9"/>
  <c r="L9" i="9"/>
  <c r="H15" i="9"/>
  <c r="F15" i="9"/>
  <c r="K15" i="9"/>
  <c r="F14" i="6"/>
  <c r="J8" i="9"/>
  <c r="K8" i="9"/>
  <c r="G9" i="9"/>
  <c r="J9" i="9"/>
  <c r="K9" i="9"/>
  <c r="L11" i="9"/>
  <c r="H16" i="9"/>
  <c r="G9" i="6"/>
  <c r="F15" i="6"/>
  <c r="G15" i="6"/>
  <c r="F12" i="6"/>
  <c r="G12" i="6"/>
</calcChain>
</file>

<file path=xl/sharedStrings.xml><?xml version="1.0" encoding="utf-8"?>
<sst xmlns="http://schemas.openxmlformats.org/spreadsheetml/2006/main" count="202" uniqueCount="117">
  <si>
    <t>DEA</t>
  </si>
  <si>
    <t>Secretario de Departamento</t>
  </si>
  <si>
    <t>A1</t>
  </si>
  <si>
    <t>A2</t>
  </si>
  <si>
    <t>B</t>
  </si>
  <si>
    <t>C1</t>
  </si>
  <si>
    <t>C2</t>
  </si>
  <si>
    <t>CUERPO</t>
  </si>
  <si>
    <t>SUELDO</t>
  </si>
  <si>
    <t>TOTAL MES</t>
  </si>
  <si>
    <t>TRIENIOS</t>
  </si>
  <si>
    <t>T.C.</t>
  </si>
  <si>
    <t>NIVEL 29</t>
  </si>
  <si>
    <t>NIVEL 27</t>
  </si>
  <si>
    <t>NIVEL 26</t>
  </si>
  <si>
    <t>MENSUAL</t>
  </si>
  <si>
    <t>RESID. POR TRIENIO</t>
  </si>
  <si>
    <t>PASIVOS</t>
  </si>
  <si>
    <t>MUFACE</t>
  </si>
  <si>
    <t>E</t>
  </si>
  <si>
    <t>65% T.U.</t>
  </si>
  <si>
    <t>65% + 2% T.U.</t>
  </si>
  <si>
    <t>65% + 5% T.U.</t>
  </si>
  <si>
    <t>90% T.U.</t>
  </si>
  <si>
    <t>100% T.U.</t>
  </si>
  <si>
    <t>85% T.U.</t>
  </si>
  <si>
    <t>85% + 2% T.U.</t>
  </si>
  <si>
    <t>85% + 5% T.U.</t>
  </si>
  <si>
    <t>60 % T.U.</t>
  </si>
  <si>
    <t>30 % T.U.</t>
  </si>
  <si>
    <t>25 % T.U.</t>
  </si>
  <si>
    <t>20 % T.U.</t>
  </si>
  <si>
    <t>15 % T.U.</t>
  </si>
  <si>
    <t>10 % T.U.</t>
  </si>
  <si>
    <t>COMPLEMENTO
DESTINO</t>
  </si>
  <si>
    <t>COMPLEMENTO
ESPECÍFICO</t>
  </si>
  <si>
    <t>SUELDO
P. EXTRA</t>
  </si>
  <si>
    <t>P. ADICIONAL</t>
  </si>
  <si>
    <t>TRIENIO
P. EXTRA</t>
  </si>
  <si>
    <t>TOTAL
P. EXTRA</t>
  </si>
  <si>
    <t>TOTAL AÑO</t>
  </si>
  <si>
    <t>TRIENIO</t>
  </si>
  <si>
    <t>QUINQUENIO/
SEXENIO</t>
  </si>
  <si>
    <t>CATEDRÁTICO DE UNIVERSIDAD</t>
  </si>
  <si>
    <t>6 H</t>
  </si>
  <si>
    <t>5 H</t>
  </si>
  <si>
    <t>4 H</t>
  </si>
  <si>
    <t>3 H</t>
  </si>
  <si>
    <t>TITULAR DE UNIVERSIDAD Y</t>
  </si>
  <si>
    <t>CATEDRÁTICO ESC. UNIVERSITARIA</t>
  </si>
  <si>
    <t>TITULAR DE ESCUELA UNIVERSITARIA</t>
  </si>
  <si>
    <t>Horas</t>
  </si>
  <si>
    <t>2 H</t>
  </si>
  <si>
    <t>INDEMNIZACIÓN POR RESIDENCIA</t>
  </si>
  <si>
    <t>GRUPO</t>
  </si>
  <si>
    <t>NORMAL</t>
  </si>
  <si>
    <t>EXTRA</t>
  </si>
  <si>
    <t>IMPORTE</t>
  </si>
  <si>
    <t>CD Director General</t>
  </si>
  <si>
    <t>COEF. REDUCTOR</t>
  </si>
  <si>
    <t>Tiempo completo</t>
  </si>
  <si>
    <t>6 horas</t>
  </si>
  <si>
    <t>5 horas</t>
  </si>
  <si>
    <t>4 horas</t>
  </si>
  <si>
    <t>3 horas</t>
  </si>
  <si>
    <t>2 horas</t>
  </si>
  <si>
    <t>Colaborador (DEA)</t>
  </si>
  <si>
    <t>Categoría</t>
  </si>
  <si>
    <t>Dedicación</t>
  </si>
  <si>
    <t>Sueldo</t>
  </si>
  <si>
    <t>Compelmento Singular
Categoría</t>
  </si>
  <si>
    <t>Complemento
Doctorado</t>
  </si>
  <si>
    <t>Total Mes</t>
  </si>
  <si>
    <t>Paga Extra</t>
  </si>
  <si>
    <t>Coeficiente
reductor 2020</t>
  </si>
  <si>
    <t>Profesor Ayudante</t>
  </si>
  <si>
    <t>Profesor Ayudante (DEA)</t>
  </si>
  <si>
    <t>Profesor Ayudante (Doctor)</t>
  </si>
  <si>
    <t>Profesor Ayudante Doctor</t>
  </si>
  <si>
    <t>Profesor Contratado Doctor</t>
  </si>
  <si>
    <t>Profesor Colaborador</t>
  </si>
  <si>
    <t>Profesor Colaborador (Doctor)</t>
  </si>
  <si>
    <t>Profesor Visitante</t>
  </si>
  <si>
    <t>Profesor Visitante Doctor</t>
  </si>
  <si>
    <t>Profesor Interino</t>
  </si>
  <si>
    <t>Profesor Asociado/Interino</t>
  </si>
  <si>
    <t>Profesor Asociado Ciencias de la Salud</t>
  </si>
  <si>
    <t>Doctor</t>
  </si>
  <si>
    <t>Trienios asociados e interinos a tiempo parcial</t>
  </si>
  <si>
    <t>Importe trienio</t>
  </si>
  <si>
    <t>Importe trienio P. Extra</t>
  </si>
  <si>
    <t>Complemento por Doctorado (Profesores Asociados)</t>
  </si>
  <si>
    <t>Complemento por Cargo Académico</t>
  </si>
  <si>
    <t>Cargo</t>
  </si>
  <si>
    <t>Cuantía mensual</t>
  </si>
  <si>
    <t>Cuantía Paga adicional</t>
  </si>
  <si>
    <t>Rector de Universidad</t>
  </si>
  <si>
    <t>Vicerrector y Secretario General de Universidad</t>
  </si>
  <si>
    <t>Decano y Director de Facultad, Escuela Técnica Superior, Escuela Universitaria y Colegio Universitario</t>
  </si>
  <si>
    <t>Vicedecano, Subdirector y Secretario de Facultad, Escuela Técnica Superior, Escuela Universitaria y Colegio Universitario</t>
  </si>
  <si>
    <t>Director de Departamento Universitario</t>
  </si>
  <si>
    <t>Director de Instituto Universitario y de Escuela de Estomatología</t>
  </si>
  <si>
    <t>Coordinador del Curso de Orientación Universitaria</t>
  </si>
  <si>
    <t>3+3</t>
  </si>
  <si>
    <t>RETRIBUCIONES PROFESORADO LABORAL LOU 2022  Real Decreto Ley 18/2022</t>
  </si>
  <si>
    <t>INDEMN. RESIDENCIA</t>
  </si>
  <si>
    <t>CEUTA Y MELILLA</t>
  </si>
  <si>
    <t>Complemento autonómico (anual)</t>
  </si>
  <si>
    <t>complemento Autonómico (anual)</t>
  </si>
  <si>
    <t>Grupo</t>
  </si>
  <si>
    <t>Ceuta y Melilla</t>
  </si>
  <si>
    <t>Indemnizacion residencia</t>
  </si>
  <si>
    <t>Importe</t>
  </si>
  <si>
    <t>GRUPO A1</t>
  </si>
  <si>
    <t>Contratado Doctor</t>
  </si>
  <si>
    <t>Colaborador</t>
  </si>
  <si>
    <t>Quinquenio/Sexenio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</si>
</sst>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8.5"/>
      <color theme="1"/>
      <name val="Arial"/>
      <family val="2"/>
    </font>
    <font>
      <sz val="9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 applyProtection="1">
      <protection hidden="1"/>
    </xf>
    <xf numFmtId="0" fontId="4" fillId="0" borderId="3" xfId="0" applyFont="1" applyBorder="1" applyProtection="1">
      <protection hidden="1"/>
    </xf>
    <xf numFmtId="0" fontId="3" fillId="0" borderId="3" xfId="0" applyFont="1" applyBorder="1" applyProtection="1">
      <protection hidden="1"/>
    </xf>
    <xf numFmtId="2" fontId="3" fillId="0" borderId="3" xfId="0" applyNumberFormat="1" applyFont="1" applyBorder="1" applyProtection="1">
      <protection hidden="1"/>
    </xf>
    <xf numFmtId="2" fontId="3" fillId="0" borderId="3" xfId="0" applyNumberFormat="1" applyFont="1" applyBorder="1" applyAlignment="1" applyProtection="1">
      <alignment horizontal="center"/>
      <protection hidden="1"/>
    </xf>
    <xf numFmtId="2" fontId="4" fillId="0" borderId="3" xfId="0" applyNumberFormat="1" applyFont="1" applyBorder="1" applyProtection="1">
      <protection hidden="1"/>
    </xf>
    <xf numFmtId="0" fontId="4" fillId="0" borderId="3" xfId="0" applyFont="1" applyBorder="1" applyAlignment="1" applyProtection="1">
      <alignment horizontal="center"/>
      <protection hidden="1"/>
    </xf>
    <xf numFmtId="164" fontId="4" fillId="0" borderId="3" xfId="0" applyNumberFormat="1" applyFont="1" applyBorder="1" applyProtection="1">
      <protection hidden="1"/>
    </xf>
    <xf numFmtId="2" fontId="4" fillId="0" borderId="3" xfId="0" applyNumberFormat="1" applyFont="1" applyBorder="1" applyAlignment="1" applyProtection="1">
      <alignment horizontal="center"/>
      <protection hidden="1"/>
    </xf>
    <xf numFmtId="0" fontId="1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0" fontId="4" fillId="0" borderId="0" xfId="0" applyFont="1" applyProtection="1">
      <protection hidden="1"/>
    </xf>
    <xf numFmtId="4" fontId="4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" xfId="0" applyBorder="1" applyAlignment="1" applyProtection="1">
      <alignment horizontal="right"/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0" fontId="0" fillId="0" borderId="4" xfId="0" applyBorder="1" applyProtection="1">
      <protection hidden="1"/>
    </xf>
    <xf numFmtId="0" fontId="0" fillId="0" borderId="0" xfId="0" applyBorder="1" applyProtection="1"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Protection="1">
      <protection hidden="1"/>
    </xf>
    <xf numFmtId="0" fontId="3" fillId="0" borderId="3" xfId="1" applyFont="1" applyBorder="1" applyAlignment="1" applyProtection="1">
      <alignment horizontal="center" vertical="center"/>
      <protection hidden="1"/>
    </xf>
    <xf numFmtId="4" fontId="0" fillId="0" borderId="3" xfId="0" applyNumberFormat="1" applyBorder="1" applyAlignment="1" applyProtection="1">
      <alignment horizontal="right"/>
      <protection hidden="1"/>
    </xf>
    <xf numFmtId="4" fontId="4" fillId="0" borderId="3" xfId="1" applyNumberFormat="1" applyFont="1" applyBorder="1" applyAlignment="1" applyProtection="1">
      <alignment horizontal="right" vertical="center"/>
      <protection hidden="1"/>
    </xf>
    <xf numFmtId="4" fontId="5" fillId="0" borderId="3" xfId="1" applyNumberFormat="1" applyFont="1" applyBorder="1" applyAlignment="1">
      <alignment horizontal="right" vertical="center"/>
    </xf>
    <xf numFmtId="4" fontId="7" fillId="0" borderId="3" xfId="0" applyNumberFormat="1" applyFont="1" applyBorder="1" applyAlignment="1" applyProtection="1">
      <alignment horizontal="right"/>
      <protection hidden="1"/>
    </xf>
    <xf numFmtId="2" fontId="7" fillId="0" borderId="3" xfId="0" applyNumberFormat="1" applyFont="1" applyBorder="1" applyAlignment="1" applyProtection="1">
      <alignment horizontal="right"/>
      <protection hidden="1"/>
    </xf>
    <xf numFmtId="2" fontId="7" fillId="0" borderId="3" xfId="0" applyNumberFormat="1" applyFont="1" applyBorder="1" applyProtection="1">
      <protection hidden="1"/>
    </xf>
    <xf numFmtId="0" fontId="7" fillId="0" borderId="3" xfId="0" applyFont="1" applyBorder="1" applyAlignment="1" applyProtection="1">
      <alignment horizontal="right"/>
      <protection hidden="1"/>
    </xf>
    <xf numFmtId="2" fontId="7" fillId="0" borderId="0" xfId="0" applyNumberFormat="1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3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7" fillId="0" borderId="3" xfId="0" applyFont="1" applyBorder="1" applyProtection="1">
      <protection hidden="1"/>
    </xf>
    <xf numFmtId="0" fontId="4" fillId="0" borderId="3" xfId="1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8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2" fontId="4" fillId="0" borderId="3" xfId="0" applyNumberFormat="1" applyFont="1" applyBorder="1"/>
    <xf numFmtId="4" fontId="4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3" fillId="0" borderId="1" xfId="1" applyFont="1" applyBorder="1" applyAlignment="1" applyProtection="1">
      <alignment horizontal="center" vertical="center"/>
      <protection hidden="1"/>
    </xf>
    <xf numFmtId="0" fontId="3" fillId="0" borderId="4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left" vertical="center"/>
      <protection hidden="1"/>
    </xf>
    <xf numFmtId="0" fontId="4" fillId="0" borderId="4" xfId="1" applyFont="1" applyBorder="1" applyAlignment="1" applyProtection="1">
      <alignment horizontal="left" vertical="center"/>
      <protection hidden="1"/>
    </xf>
    <xf numFmtId="4" fontId="0" fillId="0" borderId="3" xfId="0" applyNumberFormat="1" applyBorder="1" applyProtection="1"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/>
      <protection hidden="1"/>
    </xf>
    <xf numFmtId="4" fontId="4" fillId="0" borderId="3" xfId="0" applyNumberFormat="1" applyFont="1" applyBorder="1" applyProtection="1"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4" fontId="0" fillId="0" borderId="3" xfId="0" applyNumberFormat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4" fontId="7" fillId="0" borderId="3" xfId="0" applyNumberFormat="1" applyFont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2" fontId="3" fillId="0" borderId="4" xfId="0" applyNumberFormat="1" applyFont="1" applyBorder="1" applyAlignment="1" applyProtection="1">
      <alignment horizontal="center"/>
      <protection hidden="1"/>
    </xf>
    <xf numFmtId="0" fontId="9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1" applyFont="1" applyBorder="1" applyAlignment="1" applyProtection="1">
      <alignment horizontal="left" vertical="center"/>
      <protection hidden="1"/>
    </xf>
    <xf numFmtId="0" fontId="3" fillId="0" borderId="3" xfId="1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" xfId="1" applyFont="1" applyBorder="1" applyAlignment="1" applyProtection="1">
      <alignment horizontal="left" vertical="center"/>
      <protection hidden="1"/>
    </xf>
    <xf numFmtId="0" fontId="4" fillId="0" borderId="4" xfId="1" applyFont="1" applyBorder="1" applyAlignment="1" applyProtection="1">
      <alignment horizontal="left" vertical="center"/>
      <protection hidden="1"/>
    </xf>
    <xf numFmtId="0" fontId="3" fillId="0" borderId="3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M1" sqref="M1"/>
    </sheetView>
  </sheetViews>
  <sheetFormatPr baseColWidth="10" defaultRowHeight="15" x14ac:dyDescent="0.25"/>
  <cols>
    <col min="1" max="1" width="38.7109375" style="1" bestFit="1" customWidth="1"/>
    <col min="2" max="2" width="6.42578125" style="1" bestFit="1" customWidth="1"/>
    <col min="3" max="3" width="10.140625" style="1" bestFit="1" customWidth="1"/>
    <col min="4" max="4" width="16.140625" style="1" customWidth="1"/>
    <col min="5" max="5" width="17.140625" style="1" customWidth="1"/>
    <col min="6" max="7" width="11.5703125" style="1" bestFit="1" customWidth="1"/>
    <col min="8" max="8" width="16.5703125" style="1" customWidth="1"/>
    <col min="9" max="12" width="11.5703125" style="1" bestFit="1" customWidth="1"/>
    <col min="13" max="13" width="15" style="1" customWidth="1"/>
    <col min="14" max="14" width="6.28515625" style="1" customWidth="1"/>
    <col min="15" max="16384" width="11.42578125" style="1"/>
  </cols>
  <sheetData>
    <row r="1" spans="1:13" ht="33.75" x14ac:dyDescent="0.25">
      <c r="A1" s="51" t="s">
        <v>7</v>
      </c>
      <c r="B1" s="51" t="s">
        <v>51</v>
      </c>
      <c r="C1" s="51" t="s">
        <v>8</v>
      </c>
      <c r="D1" s="52" t="s">
        <v>34</v>
      </c>
      <c r="E1" s="52" t="s">
        <v>35</v>
      </c>
      <c r="F1" s="51" t="s">
        <v>9</v>
      </c>
      <c r="G1" s="52" t="s">
        <v>36</v>
      </c>
      <c r="H1" s="52" t="s">
        <v>37</v>
      </c>
      <c r="I1" s="52" t="s">
        <v>38</v>
      </c>
      <c r="J1" s="52" t="s">
        <v>39</v>
      </c>
      <c r="K1" s="52" t="s">
        <v>40</v>
      </c>
      <c r="L1" s="52" t="s">
        <v>41</v>
      </c>
      <c r="M1" s="52" t="s">
        <v>42</v>
      </c>
    </row>
    <row r="2" spans="1:13" x14ac:dyDescent="0.25">
      <c r="A2" s="32" t="s">
        <v>43</v>
      </c>
      <c r="B2" s="2" t="s">
        <v>11</v>
      </c>
      <c r="C2" s="50">
        <v>1256.8900000000001</v>
      </c>
      <c r="D2" s="50">
        <v>984.76</v>
      </c>
      <c r="E2" s="50">
        <v>1110.29</v>
      </c>
      <c r="F2" s="50">
        <f>C2+D2+E2</f>
        <v>3351.94</v>
      </c>
      <c r="G2" s="50">
        <v>775.61</v>
      </c>
      <c r="H2" s="50">
        <f>E2</f>
        <v>1110.29</v>
      </c>
      <c r="I2" s="50">
        <v>29.86</v>
      </c>
      <c r="J2" s="50">
        <f>G2+D2</f>
        <v>1760.37</v>
      </c>
      <c r="K2" s="50">
        <f>((F2*12)+(J2*2)+(H2*2))</f>
        <v>45964.6</v>
      </c>
      <c r="L2" s="50">
        <v>48.38</v>
      </c>
      <c r="M2" s="50">
        <v>168.4</v>
      </c>
    </row>
    <row r="3" spans="1:13" x14ac:dyDescent="0.25">
      <c r="A3" s="32" t="s">
        <v>12</v>
      </c>
      <c r="B3" s="2" t="s">
        <v>44</v>
      </c>
      <c r="C3" s="50">
        <f>C2*D23</f>
        <v>544.48474799999997</v>
      </c>
      <c r="D3" s="50">
        <f>D2*D23</f>
        <v>426.59803199999999</v>
      </c>
      <c r="E3" s="50">
        <f>E2*D23</f>
        <v>480.97762799999998</v>
      </c>
      <c r="F3" s="50">
        <f>C3+D3+H3</f>
        <v>1452.0604079999998</v>
      </c>
      <c r="G3" s="50">
        <f>G2*D23</f>
        <v>335.99425199999996</v>
      </c>
      <c r="H3" s="50">
        <f>H2*D23</f>
        <v>480.97762799999998</v>
      </c>
      <c r="I3" s="50">
        <f>I2*D23</f>
        <v>12.935351999999998</v>
      </c>
      <c r="J3" s="50">
        <f t="shared" ref="J3:J6" si="0">G3+D3</f>
        <v>762.59228399999995</v>
      </c>
      <c r="K3" s="50">
        <f t="shared" ref="K3:K6" si="1">((F3*12)+(J3*2)+(H3*2))</f>
        <v>19911.864720000001</v>
      </c>
      <c r="L3" s="50">
        <f>L2*D23</f>
        <v>20.958216</v>
      </c>
      <c r="M3" s="13"/>
    </row>
    <row r="4" spans="1:13" x14ac:dyDescent="0.25">
      <c r="A4" s="12"/>
      <c r="B4" s="2" t="s">
        <v>45</v>
      </c>
      <c r="C4" s="50">
        <f>C2*D24</f>
        <v>453.73729000000003</v>
      </c>
      <c r="D4" s="50">
        <f>D2*D24</f>
        <v>355.49835999999999</v>
      </c>
      <c r="E4" s="50">
        <f>E2*D24</f>
        <v>400.81468999999998</v>
      </c>
      <c r="F4" s="50">
        <f t="shared" ref="F4:F6" si="2">C4+D4+E4</f>
        <v>1210.05034</v>
      </c>
      <c r="G4" s="50">
        <f>G2*D24</f>
        <v>279.99520999999999</v>
      </c>
      <c r="H4" s="50">
        <f>H2*D24</f>
        <v>400.81468999999998</v>
      </c>
      <c r="I4" s="50">
        <f>I2*D24</f>
        <v>10.77946</v>
      </c>
      <c r="J4" s="50">
        <f t="shared" si="0"/>
        <v>635.49356999999998</v>
      </c>
      <c r="K4" s="50">
        <f t="shared" si="1"/>
        <v>16593.220600000001</v>
      </c>
      <c r="L4" s="50">
        <f>L2*D24</f>
        <v>17.46518</v>
      </c>
      <c r="M4" s="13"/>
    </row>
    <row r="5" spans="1:13" x14ac:dyDescent="0.25">
      <c r="A5" s="12"/>
      <c r="B5" s="2" t="s">
        <v>46</v>
      </c>
      <c r="C5" s="50">
        <f>C2*D25</f>
        <v>362.98983200000004</v>
      </c>
      <c r="D5" s="50">
        <f>D2*D25</f>
        <v>284.39868799999999</v>
      </c>
      <c r="E5" s="50">
        <f>E2*D25</f>
        <v>320.65175199999999</v>
      </c>
      <c r="F5" s="50">
        <f t="shared" si="2"/>
        <v>968.04027199999996</v>
      </c>
      <c r="G5" s="50">
        <f>G2*D25</f>
        <v>223.99616800000001</v>
      </c>
      <c r="H5" s="50">
        <f>H2*D25</f>
        <v>320.65175199999999</v>
      </c>
      <c r="I5" s="50">
        <f>I2*D25</f>
        <v>8.6235680000000006</v>
      </c>
      <c r="J5" s="50">
        <f t="shared" si="0"/>
        <v>508.394856</v>
      </c>
      <c r="K5" s="50">
        <f t="shared" si="1"/>
        <v>13274.576479999998</v>
      </c>
      <c r="L5" s="50">
        <f>L2*D25</f>
        <v>13.972144</v>
      </c>
      <c r="M5" s="13"/>
    </row>
    <row r="6" spans="1:13" x14ac:dyDescent="0.25">
      <c r="A6" s="12"/>
      <c r="B6" s="2" t="s">
        <v>47</v>
      </c>
      <c r="C6" s="50">
        <f>C2*D26</f>
        <v>272.24237399999998</v>
      </c>
      <c r="D6" s="50">
        <f>D2*D26</f>
        <v>213.29901599999999</v>
      </c>
      <c r="E6" s="50">
        <f>E2*D26</f>
        <v>240.48881399999999</v>
      </c>
      <c r="F6" s="50">
        <f t="shared" si="2"/>
        <v>726.03020399999991</v>
      </c>
      <c r="G6" s="50">
        <f>G2*D26</f>
        <v>167.99712599999998</v>
      </c>
      <c r="H6" s="50">
        <f>H2*D26</f>
        <v>240.48881399999999</v>
      </c>
      <c r="I6" s="50">
        <f>I2*D26</f>
        <v>6.4676759999999991</v>
      </c>
      <c r="J6" s="50">
        <f t="shared" si="0"/>
        <v>381.29614199999997</v>
      </c>
      <c r="K6" s="50">
        <f t="shared" si="1"/>
        <v>9955.9323600000007</v>
      </c>
      <c r="L6" s="50">
        <f>L2*D26</f>
        <v>10.479108</v>
      </c>
      <c r="M6" s="13"/>
    </row>
    <row r="7" spans="1:1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x14ac:dyDescent="0.25">
      <c r="A8" s="32" t="s">
        <v>48</v>
      </c>
      <c r="B8" s="2" t="s">
        <v>11</v>
      </c>
      <c r="C8" s="50">
        <f>C2</f>
        <v>1256.8900000000001</v>
      </c>
      <c r="D8" s="50">
        <v>901.93</v>
      </c>
      <c r="E8" s="50">
        <v>517.98</v>
      </c>
      <c r="F8" s="50">
        <f>C8+D8+E8</f>
        <v>2676.8</v>
      </c>
      <c r="G8" s="50">
        <f>G2</f>
        <v>775.61</v>
      </c>
      <c r="H8" s="50">
        <f>E8</f>
        <v>517.98</v>
      </c>
      <c r="I8" s="50">
        <f>I2</f>
        <v>29.86</v>
      </c>
      <c r="J8" s="50">
        <f>G8+D8</f>
        <v>1677.54</v>
      </c>
      <c r="K8" s="50">
        <f>((F8*12)+(J8*2)+(H8*2))</f>
        <v>36512.639999999999</v>
      </c>
      <c r="L8" s="50">
        <f>L2</f>
        <v>48.38</v>
      </c>
      <c r="M8" s="50">
        <v>136.38</v>
      </c>
    </row>
    <row r="9" spans="1:13" x14ac:dyDescent="0.25">
      <c r="A9" s="32" t="s">
        <v>49</v>
      </c>
      <c r="B9" s="2" t="s">
        <v>44</v>
      </c>
      <c r="C9" s="50">
        <f>C8*0.4332</f>
        <v>544.48474799999997</v>
      </c>
      <c r="D9" s="50">
        <f>D8*D23</f>
        <v>390.71607599999993</v>
      </c>
      <c r="E9" s="50">
        <f>E8*D23</f>
        <v>224.388936</v>
      </c>
      <c r="F9" s="50">
        <f>C9+D9+H9</f>
        <v>1159.5897599999998</v>
      </c>
      <c r="G9" s="50">
        <f>G8*D23</f>
        <v>335.99425199999996</v>
      </c>
      <c r="H9" s="50">
        <f>H8*D23</f>
        <v>224.388936</v>
      </c>
      <c r="I9" s="50">
        <f>I8*D23</f>
        <v>12.935351999999998</v>
      </c>
      <c r="J9" s="50">
        <f t="shared" ref="J9:J12" si="3">G9+D9</f>
        <v>726.71032799999989</v>
      </c>
      <c r="K9" s="50">
        <f t="shared" ref="K9:K12" si="4">((F9*12)+(J9*2)+(H9*2))</f>
        <v>15817.275647999999</v>
      </c>
      <c r="L9" s="50">
        <f>L8*D23</f>
        <v>20.958216</v>
      </c>
      <c r="M9" s="13"/>
    </row>
    <row r="10" spans="1:13" x14ac:dyDescent="0.25">
      <c r="A10" s="32" t="s">
        <v>13</v>
      </c>
      <c r="B10" s="2" t="s">
        <v>45</v>
      </c>
      <c r="C10" s="50">
        <f>C8*D24</f>
        <v>453.73729000000003</v>
      </c>
      <c r="D10" s="50">
        <f>D8*D24</f>
        <v>325.59672999999998</v>
      </c>
      <c r="E10" s="50">
        <f>E8*D24</f>
        <v>186.99078</v>
      </c>
      <c r="F10" s="50">
        <f t="shared" ref="F10:F12" si="5">C10+D10+E10</f>
        <v>966.32479999999998</v>
      </c>
      <c r="G10" s="50">
        <f>G8*D24</f>
        <v>279.99520999999999</v>
      </c>
      <c r="H10" s="50">
        <f>H8*D24</f>
        <v>186.99078</v>
      </c>
      <c r="I10" s="50">
        <f>I8*D24</f>
        <v>10.77946</v>
      </c>
      <c r="J10" s="50">
        <f t="shared" si="3"/>
        <v>605.59194000000002</v>
      </c>
      <c r="K10" s="50">
        <f t="shared" si="4"/>
        <v>13181.063040000001</v>
      </c>
      <c r="L10" s="50">
        <f>L8*D24</f>
        <v>17.46518</v>
      </c>
      <c r="M10" s="13"/>
    </row>
    <row r="11" spans="1:13" x14ac:dyDescent="0.25">
      <c r="A11" s="12"/>
      <c r="B11" s="2" t="s">
        <v>46</v>
      </c>
      <c r="C11" s="50">
        <f>C8*D25</f>
        <v>362.98983200000004</v>
      </c>
      <c r="D11" s="50">
        <f>D8*D25</f>
        <v>260.47738399999997</v>
      </c>
      <c r="E11" s="50">
        <f>E8*D25</f>
        <v>149.592624</v>
      </c>
      <c r="F11" s="50">
        <f t="shared" si="5"/>
        <v>773.05984000000001</v>
      </c>
      <c r="G11" s="50">
        <f>G8*D25</f>
        <v>223.99616800000001</v>
      </c>
      <c r="H11" s="50">
        <f>H8*D25</f>
        <v>149.592624</v>
      </c>
      <c r="I11" s="50">
        <f>I8*D25</f>
        <v>8.6235680000000006</v>
      </c>
      <c r="J11" s="50">
        <f t="shared" si="3"/>
        <v>484.47355199999998</v>
      </c>
      <c r="K11" s="50">
        <f t="shared" si="4"/>
        <v>10544.850432000001</v>
      </c>
      <c r="L11" s="50">
        <f>L8*D25</f>
        <v>13.972144</v>
      </c>
      <c r="M11" s="13"/>
    </row>
    <row r="12" spans="1:13" x14ac:dyDescent="0.25">
      <c r="A12" s="12"/>
      <c r="B12" s="2" t="s">
        <v>47</v>
      </c>
      <c r="C12" s="50">
        <f>C8*D26</f>
        <v>272.24237399999998</v>
      </c>
      <c r="D12" s="50">
        <f>D8*D26</f>
        <v>195.35803799999996</v>
      </c>
      <c r="E12" s="50">
        <f>E8*D26</f>
        <v>112.194468</v>
      </c>
      <c r="F12" s="50">
        <f t="shared" si="5"/>
        <v>579.79487999999992</v>
      </c>
      <c r="G12" s="50">
        <f>G8*D26</f>
        <v>167.99712599999998</v>
      </c>
      <c r="H12" s="50">
        <f>H8*D26</f>
        <v>112.194468</v>
      </c>
      <c r="I12" s="50">
        <f>I8*D26</f>
        <v>6.4676759999999991</v>
      </c>
      <c r="J12" s="50">
        <f t="shared" si="3"/>
        <v>363.35516399999995</v>
      </c>
      <c r="K12" s="50">
        <f t="shared" si="4"/>
        <v>7908.6378239999995</v>
      </c>
      <c r="L12" s="50">
        <f>L8*D26</f>
        <v>10.479108</v>
      </c>
      <c r="M12" s="13"/>
    </row>
    <row r="13" spans="1:13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25">
      <c r="A14" s="32" t="s">
        <v>50</v>
      </c>
      <c r="B14" s="2" t="s">
        <v>11</v>
      </c>
      <c r="C14" s="50">
        <f>C2</f>
        <v>1256.8900000000001</v>
      </c>
      <c r="D14" s="50">
        <v>791.3</v>
      </c>
      <c r="E14" s="50">
        <v>319.79000000000002</v>
      </c>
      <c r="F14" s="50">
        <f>C14+D14+E14</f>
        <v>2367.98</v>
      </c>
      <c r="G14" s="50">
        <f>G2</f>
        <v>775.61</v>
      </c>
      <c r="H14" s="50">
        <f>E14</f>
        <v>319.79000000000002</v>
      </c>
      <c r="I14" s="50">
        <f>I2</f>
        <v>29.86</v>
      </c>
      <c r="J14" s="50">
        <f>G14+D14</f>
        <v>1566.9099999999999</v>
      </c>
      <c r="K14" s="50">
        <f>((F14*12)+(J14*2)+(H14*2))</f>
        <v>32189.160000000003</v>
      </c>
      <c r="L14" s="50">
        <f>L2</f>
        <v>48.38</v>
      </c>
      <c r="M14" s="50">
        <v>115.41</v>
      </c>
    </row>
    <row r="15" spans="1:13" x14ac:dyDescent="0.25">
      <c r="A15" s="32" t="s">
        <v>14</v>
      </c>
      <c r="B15" s="2" t="s">
        <v>44</v>
      </c>
      <c r="C15" s="50">
        <f>C14*0.4332</f>
        <v>544.48474799999997</v>
      </c>
      <c r="D15" s="50">
        <f>D14*D23</f>
        <v>342.79115999999993</v>
      </c>
      <c r="E15" s="50">
        <f>E14*D23</f>
        <v>138.533028</v>
      </c>
      <c r="F15" s="50">
        <f>C15+D15+H15</f>
        <v>1025.8089359999999</v>
      </c>
      <c r="G15" s="50">
        <f>G14*D23</f>
        <v>335.99425199999996</v>
      </c>
      <c r="H15" s="50">
        <f>H14*D23</f>
        <v>138.533028</v>
      </c>
      <c r="I15" s="50">
        <f>I14*D23</f>
        <v>12.935351999999998</v>
      </c>
      <c r="J15" s="50">
        <f t="shared" ref="J15:J18" si="6">G15+D15</f>
        <v>678.78541199999995</v>
      </c>
      <c r="K15" s="50">
        <f t="shared" ref="K15:K18" si="7">((F15*12)+(J15*2)+(H15*2))</f>
        <v>13944.344111999999</v>
      </c>
      <c r="L15" s="50">
        <f>L14*D23</f>
        <v>20.958216</v>
      </c>
      <c r="M15" s="13"/>
    </row>
    <row r="16" spans="1:13" x14ac:dyDescent="0.25">
      <c r="A16" s="12"/>
      <c r="B16" s="2" t="s">
        <v>45</v>
      </c>
      <c r="C16" s="50">
        <f>C14*D24</f>
        <v>453.73729000000003</v>
      </c>
      <c r="D16" s="50">
        <f>D14*D24</f>
        <v>285.65929999999997</v>
      </c>
      <c r="E16" s="50">
        <f>E14*D24</f>
        <v>115.44419000000001</v>
      </c>
      <c r="F16" s="50">
        <f t="shared" ref="F16:F18" si="8">C16+D16+E16</f>
        <v>854.84078000000011</v>
      </c>
      <c r="G16" s="50">
        <f>G14*D24</f>
        <v>279.99520999999999</v>
      </c>
      <c r="H16" s="50">
        <f>H14*D24</f>
        <v>115.44419000000001</v>
      </c>
      <c r="I16" s="50">
        <f>I14*D24</f>
        <v>10.77946</v>
      </c>
      <c r="J16" s="50">
        <f t="shared" si="6"/>
        <v>565.65450999999996</v>
      </c>
      <c r="K16" s="50">
        <f t="shared" si="7"/>
        <v>11620.286760000003</v>
      </c>
      <c r="L16" s="50">
        <f>L14*D24</f>
        <v>17.46518</v>
      </c>
      <c r="M16" s="13"/>
    </row>
    <row r="17" spans="1:13" x14ac:dyDescent="0.25">
      <c r="A17" s="12"/>
      <c r="B17" s="2" t="s">
        <v>46</v>
      </c>
      <c r="C17" s="50">
        <f>C14*D25</f>
        <v>362.98983200000004</v>
      </c>
      <c r="D17" s="50">
        <f>D14*D25</f>
        <v>228.52743999999998</v>
      </c>
      <c r="E17" s="50">
        <f>E14*D25</f>
        <v>92.355352000000011</v>
      </c>
      <c r="F17" s="50">
        <f t="shared" si="8"/>
        <v>683.87262400000009</v>
      </c>
      <c r="G17" s="50">
        <f>G14*D25</f>
        <v>223.99616800000001</v>
      </c>
      <c r="H17" s="50">
        <f>H14*D25</f>
        <v>92.355352000000011</v>
      </c>
      <c r="I17" s="50">
        <f>I14*D25</f>
        <v>8.6235680000000006</v>
      </c>
      <c r="J17" s="50">
        <f t="shared" si="6"/>
        <v>452.52360799999997</v>
      </c>
      <c r="K17" s="50">
        <f t="shared" si="7"/>
        <v>9296.2294080000011</v>
      </c>
      <c r="L17" s="50">
        <f>L14*D25</f>
        <v>13.972144</v>
      </c>
      <c r="M17" s="13"/>
    </row>
    <row r="18" spans="1:13" x14ac:dyDescent="0.25">
      <c r="A18" s="12"/>
      <c r="B18" s="2" t="s">
        <v>47</v>
      </c>
      <c r="C18" s="50">
        <f>C14*D26</f>
        <v>272.24237399999998</v>
      </c>
      <c r="D18" s="50">
        <f>D14*D26</f>
        <v>171.39557999999997</v>
      </c>
      <c r="E18" s="50">
        <f>E14*D26</f>
        <v>69.266514000000001</v>
      </c>
      <c r="F18" s="50">
        <f t="shared" si="8"/>
        <v>512.90446799999995</v>
      </c>
      <c r="G18" s="50">
        <f>G14*D26</f>
        <v>167.99712599999998</v>
      </c>
      <c r="H18" s="50">
        <f>H14*D26</f>
        <v>69.266514000000001</v>
      </c>
      <c r="I18" s="50">
        <f>I14*D26</f>
        <v>6.4676759999999991</v>
      </c>
      <c r="J18" s="50">
        <f t="shared" si="6"/>
        <v>339.39270599999998</v>
      </c>
      <c r="K18" s="50">
        <f t="shared" si="7"/>
        <v>6972.1720559999994</v>
      </c>
      <c r="L18" s="50">
        <f>L14*D26</f>
        <v>10.479108</v>
      </c>
      <c r="M18" s="13"/>
    </row>
    <row r="19" spans="1:13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x14ac:dyDescent="0.25">
      <c r="A20" s="53" t="s">
        <v>53</v>
      </c>
      <c r="B20" s="53"/>
      <c r="C20" s="53"/>
      <c r="D20" s="53"/>
      <c r="E20" s="53"/>
      <c r="F20" s="53"/>
      <c r="G20" s="53"/>
      <c r="H20" s="53"/>
      <c r="I20" s="12"/>
      <c r="J20" s="12"/>
      <c r="K20" s="12"/>
      <c r="L20" s="12"/>
      <c r="M20" s="12"/>
    </row>
    <row r="21" spans="1:13" x14ac:dyDescent="0.25">
      <c r="A21" s="2"/>
      <c r="B21" s="3"/>
      <c r="C21" s="4" t="s">
        <v>15</v>
      </c>
      <c r="D21" s="4" t="s">
        <v>59</v>
      </c>
      <c r="E21" s="61" t="s">
        <v>16</v>
      </c>
      <c r="F21" s="62"/>
      <c r="G21" s="5" t="s">
        <v>54</v>
      </c>
      <c r="H21" s="5" t="s">
        <v>41</v>
      </c>
      <c r="I21" s="33"/>
      <c r="J21" s="33"/>
      <c r="K21" s="5" t="s">
        <v>54</v>
      </c>
      <c r="L21" s="5" t="s">
        <v>17</v>
      </c>
      <c r="M21" s="5" t="s">
        <v>18</v>
      </c>
    </row>
    <row r="22" spans="1:13" x14ac:dyDescent="0.25">
      <c r="A22" s="54" t="s">
        <v>113</v>
      </c>
      <c r="B22" s="2" t="s">
        <v>11</v>
      </c>
      <c r="C22" s="6">
        <v>998.96</v>
      </c>
      <c r="D22" s="6"/>
      <c r="E22" s="7" t="s">
        <v>11</v>
      </c>
      <c r="F22" s="9">
        <f>H22</f>
        <v>60.45</v>
      </c>
      <c r="G22" s="7" t="s">
        <v>2</v>
      </c>
      <c r="H22" s="9">
        <v>60.45</v>
      </c>
      <c r="I22" s="33"/>
      <c r="J22" s="33"/>
      <c r="K22" s="7" t="s">
        <v>2</v>
      </c>
      <c r="L22" s="6">
        <v>115.17</v>
      </c>
      <c r="M22" s="6">
        <v>50.42</v>
      </c>
    </row>
    <row r="23" spans="1:13" x14ac:dyDescent="0.25">
      <c r="A23" s="55"/>
      <c r="B23" s="12" t="s">
        <v>44</v>
      </c>
      <c r="C23" s="6">
        <f>C22*D23</f>
        <v>432.74947199999997</v>
      </c>
      <c r="D23" s="8">
        <v>0.43319999999999997</v>
      </c>
      <c r="E23" s="7" t="s">
        <v>44</v>
      </c>
      <c r="F23" s="9">
        <f>F22*0.4332</f>
        <v>26.18694</v>
      </c>
      <c r="G23" s="7" t="s">
        <v>3</v>
      </c>
      <c r="H23" s="9">
        <v>46.12</v>
      </c>
      <c r="I23" s="33"/>
      <c r="J23" s="33"/>
      <c r="K23" s="7" t="s">
        <v>3</v>
      </c>
      <c r="L23" s="6">
        <v>90.64</v>
      </c>
      <c r="M23" s="6">
        <v>39.69</v>
      </c>
    </row>
    <row r="24" spans="1:13" x14ac:dyDescent="0.25">
      <c r="A24" s="55"/>
      <c r="B24" s="12" t="s">
        <v>45</v>
      </c>
      <c r="C24" s="6">
        <f>C22*D24</f>
        <v>360.62455999999997</v>
      </c>
      <c r="D24" s="8">
        <v>0.36099999999999999</v>
      </c>
      <c r="E24" s="7" t="s">
        <v>45</v>
      </c>
      <c r="F24" s="9">
        <f>F22*0.361</f>
        <v>21.82245</v>
      </c>
      <c r="G24" s="9" t="s">
        <v>5</v>
      </c>
      <c r="H24" s="9">
        <v>36.99</v>
      </c>
      <c r="I24" s="33"/>
      <c r="J24" s="33"/>
      <c r="K24" s="7" t="s">
        <v>4</v>
      </c>
      <c r="L24" s="2">
        <v>79.37</v>
      </c>
      <c r="M24" s="2">
        <v>34.74</v>
      </c>
    </row>
    <row r="25" spans="1:13" x14ac:dyDescent="0.25">
      <c r="A25" s="55"/>
      <c r="B25" s="12" t="s">
        <v>46</v>
      </c>
      <c r="C25" s="6">
        <f>C22*D25</f>
        <v>288.49964800000004</v>
      </c>
      <c r="D25" s="8">
        <v>0.2888</v>
      </c>
      <c r="E25" s="7" t="s">
        <v>46</v>
      </c>
      <c r="F25" s="9">
        <f>F22*0.2888</f>
        <v>17.45796</v>
      </c>
      <c r="G25" s="9" t="s">
        <v>6</v>
      </c>
      <c r="H25" s="9">
        <v>24.914000000000001</v>
      </c>
      <c r="I25" s="33"/>
      <c r="J25" s="33"/>
      <c r="K25" s="9" t="s">
        <v>5</v>
      </c>
      <c r="L25" s="6">
        <v>69.62</v>
      </c>
      <c r="M25" s="6">
        <v>30.48</v>
      </c>
    </row>
    <row r="26" spans="1:13" x14ac:dyDescent="0.25">
      <c r="A26" s="55"/>
      <c r="B26" s="12" t="s">
        <v>47</v>
      </c>
      <c r="C26" s="6">
        <f>C22*D26</f>
        <v>216.37473599999998</v>
      </c>
      <c r="D26" s="8">
        <v>0.21659999999999999</v>
      </c>
      <c r="E26" s="7" t="s">
        <v>47</v>
      </c>
      <c r="F26" s="9">
        <f>F22*0.2166</f>
        <v>13.09347</v>
      </c>
      <c r="G26" s="9" t="s">
        <v>19</v>
      </c>
      <c r="H26" s="9">
        <v>18.53</v>
      </c>
      <c r="I26" s="33"/>
      <c r="J26" s="33"/>
      <c r="K26" s="9" t="s">
        <v>6</v>
      </c>
      <c r="L26" s="6">
        <v>55.07</v>
      </c>
      <c r="M26" s="6">
        <v>24.11</v>
      </c>
    </row>
    <row r="27" spans="1:13" x14ac:dyDescent="0.25">
      <c r="A27" s="56"/>
      <c r="B27" s="2" t="s">
        <v>52</v>
      </c>
      <c r="C27" s="6">
        <f>C22*D27</f>
        <v>144.24982400000002</v>
      </c>
      <c r="D27" s="8">
        <v>0.1444</v>
      </c>
      <c r="E27" s="7" t="s">
        <v>52</v>
      </c>
      <c r="F27" s="9">
        <f>F22*0.1444</f>
        <v>8.72898</v>
      </c>
      <c r="G27" s="33"/>
      <c r="H27" s="33"/>
      <c r="I27" s="33"/>
      <c r="J27" s="33"/>
      <c r="K27" s="9" t="s">
        <v>19</v>
      </c>
      <c r="L27" s="6">
        <v>46.95</v>
      </c>
      <c r="M27" s="6">
        <v>20.56</v>
      </c>
    </row>
    <row r="30" spans="1:13" x14ac:dyDescent="0.25">
      <c r="D30" s="57" t="s">
        <v>10</v>
      </c>
      <c r="E30" s="57"/>
      <c r="F30" s="57"/>
      <c r="G30" s="57"/>
      <c r="I30" s="57" t="s">
        <v>58</v>
      </c>
      <c r="J30" s="57"/>
    </row>
    <row r="31" spans="1:13" x14ac:dyDescent="0.25">
      <c r="D31" s="57" t="s">
        <v>55</v>
      </c>
      <c r="E31" s="57"/>
      <c r="F31" s="57" t="s">
        <v>56</v>
      </c>
      <c r="G31" s="57"/>
      <c r="I31" s="60">
        <v>1304.68</v>
      </c>
      <c r="J31" s="60"/>
    </row>
    <row r="32" spans="1:13" x14ac:dyDescent="0.25">
      <c r="D32" s="10" t="s">
        <v>54</v>
      </c>
      <c r="E32" s="10" t="s">
        <v>57</v>
      </c>
      <c r="F32" s="10" t="s">
        <v>54</v>
      </c>
      <c r="G32" s="10" t="s">
        <v>57</v>
      </c>
    </row>
    <row r="33" spans="4:12" x14ac:dyDescent="0.25">
      <c r="D33" s="7" t="s">
        <v>2</v>
      </c>
      <c r="E33" s="9">
        <v>48.38</v>
      </c>
      <c r="F33" s="7" t="s">
        <v>2</v>
      </c>
      <c r="G33" s="25">
        <v>29.86</v>
      </c>
    </row>
    <row r="34" spans="4:12" x14ac:dyDescent="0.25">
      <c r="D34" s="7" t="s">
        <v>3</v>
      </c>
      <c r="E34" s="9">
        <v>39.450000000000003</v>
      </c>
      <c r="F34" s="7" t="s">
        <v>3</v>
      </c>
      <c r="G34" s="25">
        <v>28.76</v>
      </c>
      <c r="I34" s="64" t="s">
        <v>105</v>
      </c>
      <c r="J34" s="65"/>
      <c r="K34" s="38" t="s">
        <v>57</v>
      </c>
      <c r="L34" s="39" t="s">
        <v>10</v>
      </c>
    </row>
    <row r="35" spans="4:12" x14ac:dyDescent="0.25">
      <c r="D35" s="7" t="s">
        <v>4</v>
      </c>
      <c r="E35" s="9">
        <v>34.61</v>
      </c>
      <c r="F35" s="7" t="s">
        <v>4</v>
      </c>
      <c r="G35" s="25">
        <v>29.93</v>
      </c>
      <c r="I35" s="66" t="s">
        <v>54</v>
      </c>
      <c r="J35" s="66"/>
      <c r="K35" s="39" t="s">
        <v>106</v>
      </c>
      <c r="L35" s="39" t="s">
        <v>106</v>
      </c>
    </row>
    <row r="36" spans="4:12" x14ac:dyDescent="0.25">
      <c r="D36" s="9" t="s">
        <v>5</v>
      </c>
      <c r="E36" s="9">
        <v>29.86</v>
      </c>
      <c r="F36" s="9" t="s">
        <v>5</v>
      </c>
      <c r="G36" s="25">
        <v>25.78</v>
      </c>
      <c r="I36" s="63" t="s">
        <v>2</v>
      </c>
      <c r="J36" s="63"/>
      <c r="K36" s="40">
        <v>998.95579203221996</v>
      </c>
      <c r="L36" s="41">
        <v>60.446157300348183</v>
      </c>
    </row>
    <row r="37" spans="4:12" x14ac:dyDescent="0.25">
      <c r="D37" s="9" t="s">
        <v>6</v>
      </c>
      <c r="E37" s="9">
        <v>20.329999999999998</v>
      </c>
      <c r="F37" s="9" t="s">
        <v>6</v>
      </c>
      <c r="G37" s="25">
        <v>20.12</v>
      </c>
      <c r="I37" s="63" t="s">
        <v>3</v>
      </c>
      <c r="J37" s="63"/>
      <c r="K37" s="40">
        <v>743.60660520103022</v>
      </c>
      <c r="L37" s="41">
        <v>46.115052187786304</v>
      </c>
    </row>
    <row r="38" spans="4:12" x14ac:dyDescent="0.25">
      <c r="D38" s="9" t="s">
        <v>19</v>
      </c>
      <c r="E38" s="9">
        <v>15.3</v>
      </c>
      <c r="F38" s="9" t="s">
        <v>19</v>
      </c>
      <c r="G38" s="25">
        <v>15.3</v>
      </c>
      <c r="I38" s="63" t="s">
        <v>5</v>
      </c>
      <c r="J38" s="63"/>
      <c r="K38" s="40">
        <v>606.31684009944922</v>
      </c>
      <c r="L38" s="41">
        <v>36.994248081264367</v>
      </c>
    </row>
    <row r="39" spans="4:12" x14ac:dyDescent="0.25">
      <c r="I39" s="63" t="s">
        <v>6</v>
      </c>
      <c r="J39" s="63"/>
      <c r="K39" s="40">
        <v>399.93781709475007</v>
      </c>
      <c r="L39" s="41">
        <v>24.907238497956374</v>
      </c>
    </row>
    <row r="40" spans="4:12" x14ac:dyDescent="0.25">
      <c r="I40" s="63" t="s">
        <v>19</v>
      </c>
      <c r="J40" s="63"/>
      <c r="K40" s="40">
        <v>354.56709362211222</v>
      </c>
      <c r="L40" s="41">
        <v>18.53045219205675</v>
      </c>
    </row>
    <row r="41" spans="4:12" x14ac:dyDescent="0.25">
      <c r="D41" s="21" t="s">
        <v>92</v>
      </c>
      <c r="E41" s="17"/>
      <c r="I41" s="37"/>
      <c r="J41" s="37"/>
    </row>
    <row r="43" spans="4:12" x14ac:dyDescent="0.25">
      <c r="D43" s="68" t="s">
        <v>93</v>
      </c>
      <c r="E43" s="68"/>
      <c r="F43" s="22" t="s">
        <v>94</v>
      </c>
      <c r="G43" s="22" t="s">
        <v>95</v>
      </c>
      <c r="I43" s="57" t="s">
        <v>107</v>
      </c>
      <c r="J43" s="57"/>
      <c r="K43" s="57"/>
    </row>
    <row r="44" spans="4:12" x14ac:dyDescent="0.25">
      <c r="D44" s="67" t="s">
        <v>96</v>
      </c>
      <c r="E44" s="67"/>
      <c r="F44" s="24">
        <v>1614.6885235500001</v>
      </c>
      <c r="G44" s="24">
        <f>F44</f>
        <v>1614.6885235500001</v>
      </c>
      <c r="I44" s="58">
        <v>1716.82</v>
      </c>
      <c r="J44" s="59"/>
      <c r="K44" s="59"/>
    </row>
    <row r="45" spans="4:12" x14ac:dyDescent="0.25">
      <c r="D45" s="67" t="s">
        <v>97</v>
      </c>
      <c r="E45" s="67"/>
      <c r="F45" s="24">
        <v>729.96574185000009</v>
      </c>
      <c r="G45" s="24">
        <f t="shared" ref="G45:G51" si="9">F45</f>
        <v>729.96574185000009</v>
      </c>
    </row>
    <row r="46" spans="4:12" x14ac:dyDescent="0.25">
      <c r="D46" s="67" t="s">
        <v>98</v>
      </c>
      <c r="E46" s="67"/>
      <c r="F46" s="24">
        <v>569.15167499999995</v>
      </c>
      <c r="G46" s="24">
        <f t="shared" si="9"/>
        <v>569.15167499999995</v>
      </c>
    </row>
    <row r="47" spans="4:12" x14ac:dyDescent="0.25">
      <c r="D47" s="67" t="s">
        <v>99</v>
      </c>
      <c r="E47" s="67"/>
      <c r="F47" s="24">
        <v>307.13304150000005</v>
      </c>
      <c r="G47" s="24">
        <f t="shared" si="9"/>
        <v>307.13304150000005</v>
      </c>
    </row>
    <row r="48" spans="4:12" x14ac:dyDescent="0.25">
      <c r="D48" s="67" t="s">
        <v>100</v>
      </c>
      <c r="E48" s="67"/>
      <c r="F48" s="24">
        <v>411.8360634</v>
      </c>
      <c r="G48" s="24">
        <f t="shared" si="9"/>
        <v>411.8360634</v>
      </c>
    </row>
    <row r="49" spans="4:7" x14ac:dyDescent="0.25">
      <c r="D49" s="67" t="s">
        <v>1</v>
      </c>
      <c r="E49" s="67"/>
      <c r="F49" s="24">
        <v>221.39478</v>
      </c>
      <c r="G49" s="24">
        <f t="shared" si="9"/>
        <v>221.39478</v>
      </c>
    </row>
    <row r="50" spans="4:7" x14ac:dyDescent="0.25">
      <c r="D50" s="67" t="s">
        <v>101</v>
      </c>
      <c r="E50" s="67"/>
      <c r="F50" s="24">
        <v>411.8360634</v>
      </c>
      <c r="G50" s="24">
        <f t="shared" si="9"/>
        <v>411.8360634</v>
      </c>
    </row>
    <row r="51" spans="4:7" x14ac:dyDescent="0.25">
      <c r="D51" s="67" t="s">
        <v>102</v>
      </c>
      <c r="E51" s="67"/>
      <c r="F51" s="24">
        <v>160.15614840000001</v>
      </c>
      <c r="G51" s="24">
        <f t="shared" si="9"/>
        <v>160.15614840000001</v>
      </c>
    </row>
  </sheetData>
  <sheetProtection algorithmName="SHA-512" hashValue="Qtczx+by7w8YWtSitCkRWo3wXzCyKBbaw7+5CMQd5im0KhdPUpIcn8rNXPdv6mV/cZqItUiLy/aDhNTU6PhgtQ==" saltValue="BunohcYSw185tCX2gJzR/A==" spinCount="100000" sheet="1" formatCells="0" formatColumns="0"/>
  <mergeCells count="26">
    <mergeCell ref="D48:E48"/>
    <mergeCell ref="D49:E49"/>
    <mergeCell ref="D50:E50"/>
    <mergeCell ref="D51:E51"/>
    <mergeCell ref="D43:E43"/>
    <mergeCell ref="D44:E44"/>
    <mergeCell ref="D45:E45"/>
    <mergeCell ref="D46:E46"/>
    <mergeCell ref="D47:E47"/>
    <mergeCell ref="I43:K43"/>
    <mergeCell ref="I44:K44"/>
    <mergeCell ref="I30:J30"/>
    <mergeCell ref="I31:J31"/>
    <mergeCell ref="E21:F21"/>
    <mergeCell ref="I40:J40"/>
    <mergeCell ref="I34:J34"/>
    <mergeCell ref="I35:J35"/>
    <mergeCell ref="I36:J36"/>
    <mergeCell ref="I37:J37"/>
    <mergeCell ref="I38:J38"/>
    <mergeCell ref="I39:J39"/>
    <mergeCell ref="A20:H20"/>
    <mergeCell ref="A22:A27"/>
    <mergeCell ref="D31:E31"/>
    <mergeCell ref="F31:G31"/>
    <mergeCell ref="D30:G30"/>
  </mergeCells>
  <pageMargins left="0.31496062992125984" right="0.31496062992125984" top="0.55118110236220474" bottom="0.55118110236220474" header="0.31496062992125984" footer="0.31496062992125984"/>
  <pageSetup paperSize="8" orientation="landscape" r:id="rId1"/>
  <headerFooter>
    <oddHeader>&amp;LRetribuciones Personal Docente Funcionario 2022   Real Decreto Ley 18/2022</oddHeader>
    <oddFooter>&amp;LUniversidad de Granada&amp;R&amp;P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E12" sqref="E12"/>
    </sheetView>
  </sheetViews>
  <sheetFormatPr baseColWidth="10" defaultRowHeight="15" x14ac:dyDescent="0.25"/>
  <cols>
    <col min="1" max="1" width="40.5703125" style="1" customWidth="1"/>
    <col min="2" max="2" width="26.7109375" style="1" customWidth="1"/>
    <col min="3" max="3" width="22.5703125" style="1" customWidth="1"/>
    <col min="4" max="4" width="23" style="1" bestFit="1" customWidth="1"/>
    <col min="5" max="5" width="15.140625" style="1" customWidth="1"/>
    <col min="6" max="6" width="13.42578125" style="1" bestFit="1" customWidth="1"/>
    <col min="7" max="7" width="17.85546875" style="1" customWidth="1"/>
    <col min="8" max="8" width="19.5703125" style="1" customWidth="1"/>
    <col min="9" max="16384" width="11.42578125" style="1"/>
  </cols>
  <sheetData>
    <row r="1" spans="1:8" ht="21" x14ac:dyDescent="0.35">
      <c r="A1" s="70" t="s">
        <v>104</v>
      </c>
      <c r="B1" s="70"/>
      <c r="C1" s="70"/>
      <c r="D1" s="70"/>
      <c r="E1" s="70"/>
      <c r="F1" s="70"/>
      <c r="G1" s="70"/>
      <c r="H1" s="70"/>
    </row>
    <row r="2" spans="1:8" ht="21" x14ac:dyDescent="0.35">
      <c r="A2" s="36"/>
      <c r="B2" s="36"/>
      <c r="C2" s="36"/>
      <c r="D2" s="36"/>
      <c r="E2" s="36"/>
      <c r="F2" s="36"/>
      <c r="G2" s="36"/>
      <c r="H2" s="36"/>
    </row>
    <row r="3" spans="1:8" x14ac:dyDescent="0.25">
      <c r="A3" s="14"/>
      <c r="B3" s="14"/>
      <c r="C3" s="14"/>
      <c r="D3" s="14"/>
      <c r="E3" s="14"/>
      <c r="F3" s="14"/>
      <c r="G3" s="14"/>
      <c r="H3" s="14"/>
    </row>
    <row r="4" spans="1:8" ht="30" x14ac:dyDescent="0.25">
      <c r="A4" s="19" t="s">
        <v>67</v>
      </c>
      <c r="B4" s="19" t="s">
        <v>68</v>
      </c>
      <c r="C4" s="19" t="s">
        <v>69</v>
      </c>
      <c r="D4" s="20" t="s">
        <v>70</v>
      </c>
      <c r="E4" s="20" t="s">
        <v>71</v>
      </c>
      <c r="F4" s="19" t="s">
        <v>72</v>
      </c>
      <c r="G4" s="19" t="s">
        <v>73</v>
      </c>
      <c r="H4" s="20" t="s">
        <v>74</v>
      </c>
    </row>
    <row r="5" spans="1:8" x14ac:dyDescent="0.25">
      <c r="A5" s="19"/>
      <c r="B5" s="19"/>
      <c r="C5" s="19"/>
      <c r="D5" s="20"/>
      <c r="E5" s="20"/>
      <c r="F5" s="19"/>
      <c r="G5" s="48">
        <v>775.61</v>
      </c>
      <c r="H5" s="20"/>
    </row>
    <row r="6" spans="1:8" x14ac:dyDescent="0.25">
      <c r="A6" s="10" t="s">
        <v>75</v>
      </c>
      <c r="B6" s="11" t="s">
        <v>60</v>
      </c>
      <c r="C6" s="15" t="str">
        <f>FIXED(C10*65%)</f>
        <v>816,98</v>
      </c>
      <c r="D6" s="16">
        <f>D10*65%</f>
        <v>922.94149999999991</v>
      </c>
      <c r="E6" s="15"/>
      <c r="F6" s="23">
        <f t="shared" ref="F6:F15" si="0">C6+D6+E6</f>
        <v>1739.9214999999999</v>
      </c>
      <c r="G6" s="23">
        <f>G5*90%+D6</f>
        <v>1620.9904999999999</v>
      </c>
      <c r="H6" s="11" t="s">
        <v>20</v>
      </c>
    </row>
    <row r="7" spans="1:8" x14ac:dyDescent="0.25">
      <c r="A7" s="10" t="s">
        <v>76</v>
      </c>
      <c r="B7" s="11" t="s">
        <v>60</v>
      </c>
      <c r="C7" s="15" t="str">
        <f>C6</f>
        <v>816,98</v>
      </c>
      <c r="D7" s="16">
        <f>D10*65%</f>
        <v>922.94149999999991</v>
      </c>
      <c r="E7" s="16">
        <f>F10*2%</f>
        <v>53.536000000000001</v>
      </c>
      <c r="F7" s="23">
        <f t="shared" si="0"/>
        <v>1793.4575</v>
      </c>
      <c r="G7" s="23">
        <f>G5*90%+D7</f>
        <v>1620.9904999999999</v>
      </c>
      <c r="H7" s="11" t="s">
        <v>21</v>
      </c>
    </row>
    <row r="8" spans="1:8" x14ac:dyDescent="0.25">
      <c r="A8" s="10" t="s">
        <v>77</v>
      </c>
      <c r="B8" s="11" t="s">
        <v>60</v>
      </c>
      <c r="C8" s="15" t="str">
        <f>C6</f>
        <v>816,98</v>
      </c>
      <c r="D8" s="16">
        <f>D10*65%</f>
        <v>922.94149999999991</v>
      </c>
      <c r="E8" s="16" t="str">
        <f>FIXED(F10*5%)</f>
        <v>133,84</v>
      </c>
      <c r="F8" s="23">
        <f t="shared" si="0"/>
        <v>1873.7614999999998</v>
      </c>
      <c r="G8" s="23">
        <f>G5*90%+D8</f>
        <v>1620.9904999999999</v>
      </c>
      <c r="H8" s="11" t="s">
        <v>22</v>
      </c>
    </row>
    <row r="9" spans="1:8" x14ac:dyDescent="0.25">
      <c r="A9" s="10" t="s">
        <v>78</v>
      </c>
      <c r="B9" s="11" t="s">
        <v>60</v>
      </c>
      <c r="C9" s="23">
        <f>C10*90%</f>
        <v>1131.201</v>
      </c>
      <c r="D9" s="23">
        <f>D10*90%</f>
        <v>1277.9189999999999</v>
      </c>
      <c r="E9" s="15"/>
      <c r="F9" s="23">
        <f t="shared" si="0"/>
        <v>2409.12</v>
      </c>
      <c r="G9" s="23">
        <f>G5*90%+D9</f>
        <v>1975.9679999999998</v>
      </c>
      <c r="H9" s="11" t="s">
        <v>23</v>
      </c>
    </row>
    <row r="10" spans="1:8" x14ac:dyDescent="0.25">
      <c r="A10" s="10" t="s">
        <v>79</v>
      </c>
      <c r="B10" s="11" t="s">
        <v>60</v>
      </c>
      <c r="C10" s="26">
        <v>1256.8900000000001</v>
      </c>
      <c r="D10" s="26">
        <f>901.93+517.98</f>
        <v>1419.9099999999999</v>
      </c>
      <c r="E10" s="29"/>
      <c r="F10" s="26">
        <f t="shared" si="0"/>
        <v>2676.8</v>
      </c>
      <c r="G10" s="23">
        <f>G5+D10</f>
        <v>2195.52</v>
      </c>
      <c r="H10" s="11" t="s">
        <v>24</v>
      </c>
    </row>
    <row r="11" spans="1:8" x14ac:dyDescent="0.25">
      <c r="A11" s="10" t="s">
        <v>80</v>
      </c>
      <c r="B11" s="11" t="s">
        <v>60</v>
      </c>
      <c r="C11" s="29" t="str">
        <f>FIXED(C10*85%)</f>
        <v>1.068,36</v>
      </c>
      <c r="D11" s="23">
        <v>1206.92</v>
      </c>
      <c r="E11" s="29"/>
      <c r="F11" s="26">
        <f t="shared" si="0"/>
        <v>2275.2799999999997</v>
      </c>
      <c r="G11" s="23">
        <f>G5*85%+D11</f>
        <v>1866.1885000000002</v>
      </c>
      <c r="H11" s="11" t="s">
        <v>25</v>
      </c>
    </row>
    <row r="12" spans="1:8" x14ac:dyDescent="0.25">
      <c r="A12" s="10" t="s">
        <v>66</v>
      </c>
      <c r="B12" s="11" t="s">
        <v>60</v>
      </c>
      <c r="C12" s="15" t="str">
        <f>FIXED(C10*85%)</f>
        <v>1.068,36</v>
      </c>
      <c r="D12" s="16" t="str">
        <f>FIXED(D10*85%)</f>
        <v>1.206,92</v>
      </c>
      <c r="E12" s="16">
        <f>E7</f>
        <v>53.536000000000001</v>
      </c>
      <c r="F12" s="23">
        <f t="shared" si="0"/>
        <v>2328.8159999999998</v>
      </c>
      <c r="G12" s="23">
        <f>G5*85%+D12+E12</f>
        <v>1919.7245000000003</v>
      </c>
      <c r="H12" s="11" t="s">
        <v>26</v>
      </c>
    </row>
    <row r="13" spans="1:8" x14ac:dyDescent="0.25">
      <c r="A13" s="10" t="s">
        <v>81</v>
      </c>
      <c r="B13" s="11" t="s">
        <v>60</v>
      </c>
      <c r="C13" s="15" t="str">
        <f>FIXED(C10*85%)</f>
        <v>1.068,36</v>
      </c>
      <c r="D13" s="16" t="str">
        <f>FIXED(D10*85%)</f>
        <v>1.206,92</v>
      </c>
      <c r="E13" s="16" t="str">
        <f>E8</f>
        <v>133,84</v>
      </c>
      <c r="F13" s="23">
        <f t="shared" si="0"/>
        <v>2409.12</v>
      </c>
      <c r="G13" s="23">
        <f>G5*85%+D13+E13</f>
        <v>2000.0285000000001</v>
      </c>
      <c r="H13" s="11" t="s">
        <v>27</v>
      </c>
    </row>
    <row r="14" spans="1:8" x14ac:dyDescent="0.25">
      <c r="A14" s="10" t="s">
        <v>82</v>
      </c>
      <c r="B14" s="11" t="s">
        <v>60</v>
      </c>
      <c r="C14" s="26">
        <v>1005.46</v>
      </c>
      <c r="D14" s="27">
        <v>675.43</v>
      </c>
      <c r="E14" s="15"/>
      <c r="F14" s="23">
        <f t="shared" si="0"/>
        <v>1680.8899999999999</v>
      </c>
      <c r="G14" s="23">
        <f>C14+D14+E14</f>
        <v>1680.8899999999999</v>
      </c>
      <c r="H14" s="11"/>
    </row>
    <row r="15" spans="1:8" x14ac:dyDescent="0.25">
      <c r="A15" s="10" t="s">
        <v>83</v>
      </c>
      <c r="B15" s="11" t="s">
        <v>60</v>
      </c>
      <c r="C15" s="23">
        <f>C14</f>
        <v>1005.46</v>
      </c>
      <c r="D15" s="26">
        <v>1041.32</v>
      </c>
      <c r="E15" s="15"/>
      <c r="F15" s="23">
        <f t="shared" si="0"/>
        <v>2046.78</v>
      </c>
      <c r="G15" s="23">
        <f>C15+D15+E15</f>
        <v>2046.78</v>
      </c>
      <c r="H15" s="11"/>
    </row>
    <row r="16" spans="1:8" x14ac:dyDescent="0.25">
      <c r="A16" s="10" t="s">
        <v>84</v>
      </c>
      <c r="B16" s="11" t="s">
        <v>60</v>
      </c>
      <c r="C16" s="15" t="str">
        <f>FIXED(C10*60%)</f>
        <v>754,13</v>
      </c>
      <c r="D16" s="16" t="str">
        <f>FIXED(D10*60%)</f>
        <v>851,95</v>
      </c>
      <c r="E16" s="15"/>
      <c r="F16" s="23">
        <f>C16+D16</f>
        <v>1606.08</v>
      </c>
      <c r="G16" s="16">
        <f>G5*60%+D16</f>
        <v>1317.316</v>
      </c>
      <c r="H16" s="11" t="s">
        <v>28</v>
      </c>
    </row>
    <row r="17" spans="1:8" x14ac:dyDescent="0.25">
      <c r="A17" s="73" t="s">
        <v>85</v>
      </c>
      <c r="B17" s="11" t="s">
        <v>61</v>
      </c>
      <c r="C17" s="15" t="str">
        <f>FIXED(C10*30%)</f>
        <v>377,07</v>
      </c>
      <c r="D17" s="16" t="str">
        <f>FIXED(D10*30%)</f>
        <v>425,97</v>
      </c>
      <c r="E17" s="15"/>
      <c r="F17" s="16">
        <f>C17+D17+E17</f>
        <v>803.04</v>
      </c>
      <c r="G17" s="16">
        <f>G5*30%+D17</f>
        <v>658.65300000000002</v>
      </c>
      <c r="H17" s="11" t="s">
        <v>29</v>
      </c>
    </row>
    <row r="18" spans="1:8" x14ac:dyDescent="0.25">
      <c r="A18" s="74"/>
      <c r="B18" s="11" t="s">
        <v>62</v>
      </c>
      <c r="C18" s="15" t="str">
        <f>FIXED(C10*25%)</f>
        <v>314,22</v>
      </c>
      <c r="D18" s="16" t="str">
        <f>FIXED(D10*25%)</f>
        <v>354,98</v>
      </c>
      <c r="E18" s="15"/>
      <c r="F18" s="16">
        <f>C18+D18+E18</f>
        <v>669.2</v>
      </c>
      <c r="G18" s="16">
        <f>G5*25%+D18</f>
        <v>548.88250000000005</v>
      </c>
      <c r="H18" s="11" t="s">
        <v>30</v>
      </c>
    </row>
    <row r="19" spans="1:8" x14ac:dyDescent="0.25">
      <c r="A19" s="74"/>
      <c r="B19" s="11" t="s">
        <v>63</v>
      </c>
      <c r="C19" s="15" t="str">
        <f>FIXED(C10*20%)</f>
        <v>251,38</v>
      </c>
      <c r="D19" s="16" t="str">
        <f>FIXED(D10*20%)</f>
        <v>283,98</v>
      </c>
      <c r="E19" s="15"/>
      <c r="F19" s="16">
        <f>C19+D19+E19</f>
        <v>535.36</v>
      </c>
      <c r="G19" s="16">
        <f>G520%+D19</f>
        <v>283.98</v>
      </c>
      <c r="H19" s="11" t="s">
        <v>31</v>
      </c>
    </row>
    <row r="20" spans="1:8" x14ac:dyDescent="0.25">
      <c r="A20" s="74"/>
      <c r="B20" s="11" t="s">
        <v>64</v>
      </c>
      <c r="C20" s="15" t="str">
        <f>FIXED(C10*15%)</f>
        <v>188,53</v>
      </c>
      <c r="D20" s="16" t="str">
        <f>FIXED(D10*15%)</f>
        <v>212,99</v>
      </c>
      <c r="E20" s="15"/>
      <c r="F20" s="16">
        <f>C20+D20+E20</f>
        <v>401.52</v>
      </c>
      <c r="G20" s="16">
        <f>G5*15%+D20</f>
        <v>329.33150000000001</v>
      </c>
      <c r="H20" s="11" t="s">
        <v>32</v>
      </c>
    </row>
    <row r="21" spans="1:8" x14ac:dyDescent="0.25">
      <c r="A21" s="75"/>
      <c r="B21" s="11" t="s">
        <v>65</v>
      </c>
      <c r="C21" s="15" t="str">
        <f>FIXED(C10*10%)</f>
        <v>125,69</v>
      </c>
      <c r="D21" s="16" t="str">
        <f>FIXED(D10*10%)</f>
        <v>141,99</v>
      </c>
      <c r="E21" s="15"/>
      <c r="F21" s="16">
        <f>C21+D21+E21</f>
        <v>267.68</v>
      </c>
      <c r="G21" s="16">
        <f>G5*10%+D21</f>
        <v>219.55100000000002</v>
      </c>
      <c r="H21" s="11" t="s">
        <v>33</v>
      </c>
    </row>
    <row r="22" spans="1:8" x14ac:dyDescent="0.25">
      <c r="A22" s="10" t="s">
        <v>86</v>
      </c>
      <c r="B22" s="11" t="s">
        <v>103</v>
      </c>
      <c r="C22" s="26">
        <v>302.24</v>
      </c>
      <c r="D22" s="15"/>
      <c r="E22" s="15"/>
      <c r="F22" s="15"/>
      <c r="G22" s="15"/>
      <c r="H22" s="11"/>
    </row>
    <row r="24" spans="1:8" x14ac:dyDescent="0.25">
      <c r="B24" s="71" t="s">
        <v>91</v>
      </c>
      <c r="C24" s="72"/>
      <c r="D24" s="18"/>
      <c r="F24" s="71" t="s">
        <v>88</v>
      </c>
      <c r="G24" s="76"/>
      <c r="H24" s="72"/>
    </row>
    <row r="25" spans="1:8" x14ac:dyDescent="0.25">
      <c r="B25" s="10" t="s">
        <v>0</v>
      </c>
      <c r="C25" s="34">
        <v>53.54</v>
      </c>
      <c r="F25" s="10" t="s">
        <v>68</v>
      </c>
      <c r="G25" s="10" t="s">
        <v>89</v>
      </c>
      <c r="H25" s="10" t="s">
        <v>90</v>
      </c>
    </row>
    <row r="26" spans="1:8" x14ac:dyDescent="0.25">
      <c r="B26" s="10" t="s">
        <v>87</v>
      </c>
      <c r="C26" s="28">
        <v>133.84</v>
      </c>
      <c r="D26" s="31"/>
      <c r="F26" s="11" t="s">
        <v>61</v>
      </c>
      <c r="G26" s="29">
        <v>14.51</v>
      </c>
      <c r="H26" s="29">
        <v>8.9600000000000009</v>
      </c>
    </row>
    <row r="27" spans="1:8" x14ac:dyDescent="0.25">
      <c r="B27" s="18"/>
      <c r="C27" s="30"/>
      <c r="D27" s="31"/>
      <c r="F27" s="11" t="s">
        <v>62</v>
      </c>
      <c r="G27" s="27">
        <v>12.1</v>
      </c>
      <c r="H27" s="29">
        <v>7.46</v>
      </c>
    </row>
    <row r="28" spans="1:8" x14ac:dyDescent="0.25">
      <c r="B28" s="18"/>
      <c r="C28" s="30"/>
      <c r="D28" s="31"/>
      <c r="F28" s="11" t="s">
        <v>63</v>
      </c>
      <c r="G28" s="29">
        <v>9.68</v>
      </c>
      <c r="H28" s="29">
        <v>5.97</v>
      </c>
    </row>
    <row r="29" spans="1:8" x14ac:dyDescent="0.25">
      <c r="A29" s="21" t="s">
        <v>92</v>
      </c>
      <c r="B29" s="17"/>
      <c r="F29" s="11" t="s">
        <v>64</v>
      </c>
      <c r="G29" s="29">
        <v>7.26</v>
      </c>
      <c r="H29" s="29">
        <v>4.4800000000000004</v>
      </c>
    </row>
    <row r="30" spans="1:8" x14ac:dyDescent="0.25">
      <c r="A30" s="43" t="s">
        <v>93</v>
      </c>
      <c r="B30" s="44"/>
      <c r="C30" s="22" t="s">
        <v>94</v>
      </c>
      <c r="F30" s="11" t="s">
        <v>65</v>
      </c>
      <c r="G30" s="29">
        <v>4.83</v>
      </c>
      <c r="H30" s="29">
        <v>2.99</v>
      </c>
    </row>
    <row r="31" spans="1:8" x14ac:dyDescent="0.25">
      <c r="A31" s="45" t="s">
        <v>96</v>
      </c>
      <c r="B31" s="46"/>
      <c r="C31" s="24">
        <v>1614.6885235500001</v>
      </c>
    </row>
    <row r="32" spans="1:8" x14ac:dyDescent="0.25">
      <c r="A32" s="35" t="s">
        <v>97</v>
      </c>
      <c r="B32" s="35"/>
      <c r="C32" s="24">
        <v>729.96574185000009</v>
      </c>
      <c r="E32" s="81" t="s">
        <v>111</v>
      </c>
      <c r="F32" s="81"/>
      <c r="G32" s="42" t="s">
        <v>112</v>
      </c>
      <c r="H32" s="49" t="s">
        <v>89</v>
      </c>
    </row>
    <row r="33" spans="1:8" x14ac:dyDescent="0.25">
      <c r="A33" s="35" t="s">
        <v>98</v>
      </c>
      <c r="B33" s="35"/>
      <c r="C33" s="24">
        <v>569.15167499999995</v>
      </c>
      <c r="E33" s="66" t="s">
        <v>109</v>
      </c>
      <c r="F33" s="66"/>
      <c r="G33" s="77" t="s">
        <v>110</v>
      </c>
      <c r="H33" s="78"/>
    </row>
    <row r="34" spans="1:8" x14ac:dyDescent="0.25">
      <c r="A34" s="35" t="s">
        <v>99</v>
      </c>
      <c r="B34" s="35"/>
      <c r="C34" s="24">
        <v>307.13304150000005</v>
      </c>
      <c r="E34" s="63" t="s">
        <v>2</v>
      </c>
      <c r="F34" s="63"/>
      <c r="G34" s="40">
        <v>998.95579203221996</v>
      </c>
      <c r="H34" s="41">
        <v>60.446157300348183</v>
      </c>
    </row>
    <row r="35" spans="1:8" x14ac:dyDescent="0.25">
      <c r="A35" s="35" t="s">
        <v>100</v>
      </c>
      <c r="B35" s="35"/>
      <c r="C35" s="24">
        <v>411.8360634</v>
      </c>
      <c r="E35" s="63" t="s">
        <v>3</v>
      </c>
      <c r="F35" s="63"/>
      <c r="G35" s="40">
        <v>743.60660520103022</v>
      </c>
      <c r="H35" s="41">
        <v>46.115052187786304</v>
      </c>
    </row>
    <row r="36" spans="1:8" x14ac:dyDescent="0.25">
      <c r="A36" s="45" t="s">
        <v>1</v>
      </c>
      <c r="B36" s="46"/>
      <c r="C36" s="24">
        <v>221.39478</v>
      </c>
      <c r="E36" s="63" t="s">
        <v>5</v>
      </c>
      <c r="F36" s="63"/>
      <c r="G36" s="40">
        <v>606.31684009944922</v>
      </c>
      <c r="H36" s="41">
        <v>36.994248081264367</v>
      </c>
    </row>
    <row r="37" spans="1:8" x14ac:dyDescent="0.25">
      <c r="A37" s="35" t="s">
        <v>101</v>
      </c>
      <c r="B37" s="35"/>
      <c r="C37" s="24">
        <v>411.8360634</v>
      </c>
      <c r="E37" s="63" t="s">
        <v>6</v>
      </c>
      <c r="F37" s="63"/>
      <c r="G37" s="40">
        <v>399.93781709475007</v>
      </c>
      <c r="H37" s="41">
        <v>24.907238497956374</v>
      </c>
    </row>
    <row r="38" spans="1:8" x14ac:dyDescent="0.25">
      <c r="A38" s="79" t="s">
        <v>102</v>
      </c>
      <c r="B38" s="80"/>
      <c r="C38" s="24">
        <v>160.15614840000001</v>
      </c>
      <c r="E38" s="63" t="s">
        <v>19</v>
      </c>
      <c r="F38" s="63"/>
      <c r="G38" s="40">
        <v>354.56709362211222</v>
      </c>
      <c r="H38" s="41">
        <v>18.53045219205675</v>
      </c>
    </row>
    <row r="40" spans="1:8" ht="15" customHeight="1" x14ac:dyDescent="0.25">
      <c r="A40" s="11" t="s">
        <v>108</v>
      </c>
      <c r="B40" s="47">
        <v>1716.82</v>
      </c>
      <c r="E40" s="69" t="s">
        <v>116</v>
      </c>
      <c r="F40" s="69"/>
      <c r="G40" s="10" t="s">
        <v>114</v>
      </c>
      <c r="H40" s="10" t="s">
        <v>115</v>
      </c>
    </row>
    <row r="41" spans="1:8" x14ac:dyDescent="0.25">
      <c r="E41" s="69"/>
      <c r="F41" s="69"/>
      <c r="G41" s="11">
        <v>136.38</v>
      </c>
      <c r="H41" s="11">
        <v>122.74</v>
      </c>
    </row>
  </sheetData>
  <sheetProtection algorithmName="SHA-512" hashValue="bnhidfU227f+MlUGldQo8ebblvaRrfY6BzSb5/VL1eXa++jtJVtGvAlU4K/PMqLz7XNQrfb5PhYjgwm6CgMlMw==" saltValue="KPfN15t+gBBfD0F5GYFM3w==" spinCount="100000" sheet="1" objects="1" scenarios="1" formatCells="0"/>
  <mergeCells count="14">
    <mergeCell ref="E40:F41"/>
    <mergeCell ref="A1:H1"/>
    <mergeCell ref="B24:C24"/>
    <mergeCell ref="A17:A21"/>
    <mergeCell ref="F24:H24"/>
    <mergeCell ref="G33:H33"/>
    <mergeCell ref="A38:B38"/>
    <mergeCell ref="E32:F32"/>
    <mergeCell ref="E33:F33"/>
    <mergeCell ref="E34:F34"/>
    <mergeCell ref="E35:F35"/>
    <mergeCell ref="E36:F36"/>
    <mergeCell ref="E37:F37"/>
    <mergeCell ref="E38:F38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&amp;LServicio de Habilitación</oddHeader>
    <oddFooter>&amp;LUniversidad de Granada&amp;R&amp;P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PDI Funcionario e Interino</vt:lpstr>
      <vt:lpstr>PDI Contratado LOU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2022-12-12T08:33:22Z</dcterms:modified>
</cp:coreProperties>
</file>