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E7E3BF0D-8DDF-4406-865F-0D4DBEE0A25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DI Funcionario e Interino" sheetId="9" r:id="rId1"/>
    <sheet name="PDI Contratado LOU" sheetId="6" r:id="rId2"/>
    <sheet name="PDI Plazas Vinculada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6" l="1"/>
  <c r="G53" i="9" l="1"/>
  <c r="G52" i="9"/>
  <c r="G51" i="9"/>
  <c r="G50" i="9"/>
  <c r="G49" i="9"/>
  <c r="G48" i="9"/>
  <c r="G47" i="9"/>
  <c r="G46" i="9"/>
  <c r="F24" i="9"/>
  <c r="D9" i="6" l="1"/>
  <c r="G9" i="6" s="1"/>
  <c r="D8" i="6"/>
  <c r="D7" i="6" l="1"/>
  <c r="D6" i="6"/>
  <c r="H16" i="9" l="1"/>
  <c r="H10" i="9"/>
  <c r="H4" i="9"/>
  <c r="C25" i="9"/>
  <c r="L8" i="9" l="1"/>
  <c r="L7" i="9"/>
  <c r="L6" i="9"/>
  <c r="L5" i="9"/>
  <c r="I8" i="9"/>
  <c r="I7" i="9"/>
  <c r="I6" i="9"/>
  <c r="I5" i="9"/>
  <c r="H20" i="9"/>
  <c r="H19" i="9"/>
  <c r="H18" i="9"/>
  <c r="H17" i="9"/>
  <c r="H14" i="9"/>
  <c r="H13" i="9"/>
  <c r="H12" i="9"/>
  <c r="H11" i="9"/>
  <c r="H8" i="9"/>
  <c r="H7" i="9"/>
  <c r="H6" i="9"/>
  <c r="H5" i="9"/>
  <c r="G8" i="9"/>
  <c r="G7" i="9"/>
  <c r="G6" i="9"/>
  <c r="G5" i="9"/>
  <c r="E20" i="9"/>
  <c r="E19" i="9"/>
  <c r="E18" i="9"/>
  <c r="E14" i="9"/>
  <c r="E13" i="9"/>
  <c r="E12" i="9"/>
  <c r="E8" i="9"/>
  <c r="E7" i="9"/>
  <c r="E6" i="9"/>
  <c r="D20" i="9"/>
  <c r="D19" i="9"/>
  <c r="D14" i="9"/>
  <c r="D13" i="9"/>
  <c r="D8" i="9"/>
  <c r="C8" i="9"/>
  <c r="D7" i="9"/>
  <c r="C7" i="9"/>
  <c r="C5" i="9"/>
  <c r="D18" i="9"/>
  <c r="D12" i="9"/>
  <c r="D6" i="9"/>
  <c r="C6" i="9"/>
  <c r="E17" i="9"/>
  <c r="E11" i="9"/>
  <c r="E5" i="9"/>
  <c r="D17" i="9"/>
  <c r="D11" i="9"/>
  <c r="D5" i="9"/>
  <c r="F29" i="9"/>
  <c r="C29" i="9"/>
  <c r="F28" i="9"/>
  <c r="C28" i="9"/>
  <c r="F27" i="9"/>
  <c r="C27" i="9"/>
  <c r="F26" i="9"/>
  <c r="C26" i="9"/>
  <c r="F25" i="9"/>
  <c r="J8" i="9" l="1"/>
  <c r="J6" i="9"/>
  <c r="L16" i="9"/>
  <c r="L10" i="9"/>
  <c r="I16" i="9"/>
  <c r="I10" i="9"/>
  <c r="G16" i="9"/>
  <c r="G10" i="9"/>
  <c r="C16" i="9"/>
  <c r="C10" i="9"/>
  <c r="F10" i="9" s="1"/>
  <c r="J7" i="9"/>
  <c r="J5" i="9"/>
  <c r="J4" i="9"/>
  <c r="F4" i="9"/>
  <c r="L20" i="9" l="1"/>
  <c r="L18" i="9"/>
  <c r="L19" i="9"/>
  <c r="L17" i="9"/>
  <c r="L14" i="9"/>
  <c r="L12" i="9"/>
  <c r="L13" i="9"/>
  <c r="L11" i="9"/>
  <c r="I20" i="9"/>
  <c r="I18" i="9"/>
  <c r="I19" i="9"/>
  <c r="I17" i="9"/>
  <c r="I14" i="9"/>
  <c r="I12" i="9"/>
  <c r="I13" i="9"/>
  <c r="I11" i="9"/>
  <c r="G18" i="9"/>
  <c r="J18" i="9" s="1"/>
  <c r="G19" i="9"/>
  <c r="J19" i="9" s="1"/>
  <c r="G17" i="9"/>
  <c r="J17" i="9" s="1"/>
  <c r="G20" i="9"/>
  <c r="J20" i="9" s="1"/>
  <c r="G13" i="9"/>
  <c r="J13" i="9" s="1"/>
  <c r="G11" i="9"/>
  <c r="G14" i="9"/>
  <c r="J14" i="9" s="1"/>
  <c r="G12" i="9"/>
  <c r="J12" i="9" s="1"/>
  <c r="F16" i="9"/>
  <c r="C20" i="9"/>
  <c r="F20" i="9" s="1"/>
  <c r="C19" i="9"/>
  <c r="F19" i="9" s="1"/>
  <c r="C18" i="9"/>
  <c r="F18" i="9" s="1"/>
  <c r="C14" i="9"/>
  <c r="F14" i="9" s="1"/>
  <c r="C13" i="9"/>
  <c r="F13" i="9" s="1"/>
  <c r="C12" i="9"/>
  <c r="F12" i="9" s="1"/>
  <c r="J16" i="9"/>
  <c r="F5" i="9"/>
  <c r="K5" i="9" s="1"/>
  <c r="C17" i="9"/>
  <c r="F17" i="9" s="1"/>
  <c r="C11" i="9"/>
  <c r="J10" i="9"/>
  <c r="K10" i="9" s="1"/>
  <c r="F8" i="9"/>
  <c r="K8" i="9" s="1"/>
  <c r="F7" i="9"/>
  <c r="K7" i="9" s="1"/>
  <c r="F6" i="9"/>
  <c r="K6" i="9" s="1"/>
  <c r="K4" i="9"/>
  <c r="K17" i="9" l="1"/>
  <c r="K18" i="9"/>
  <c r="K20" i="9"/>
  <c r="K12" i="9"/>
  <c r="K13" i="9"/>
  <c r="K19" i="9"/>
  <c r="K14" i="9"/>
  <c r="K16" i="9"/>
  <c r="D21" i="6"/>
  <c r="G21" i="6" s="1"/>
  <c r="C21" i="6"/>
  <c r="D20" i="6"/>
  <c r="G20" i="6" s="1"/>
  <c r="C20" i="6"/>
  <c r="D19" i="6"/>
  <c r="G19" i="6" s="1"/>
  <c r="C19" i="6"/>
  <c r="D18" i="6"/>
  <c r="G18" i="6" s="1"/>
  <c r="C18" i="6"/>
  <c r="D17" i="6"/>
  <c r="G17" i="6" s="1"/>
  <c r="C17" i="6"/>
  <c r="D16" i="6"/>
  <c r="G16" i="6" s="1"/>
  <c r="C16" i="6"/>
  <c r="C15" i="6"/>
  <c r="G15" i="6" s="1"/>
  <c r="F14" i="6"/>
  <c r="D13" i="6"/>
  <c r="C13" i="6"/>
  <c r="D12" i="6"/>
  <c r="C12" i="6"/>
  <c r="D11" i="6"/>
  <c r="G11" i="6" s="1"/>
  <c r="C11" i="6"/>
  <c r="F10" i="6"/>
  <c r="C9" i="6"/>
  <c r="G6" i="6"/>
  <c r="C6" i="6"/>
  <c r="F6" i="6" s="1"/>
  <c r="E7" i="6" l="1"/>
  <c r="E8" i="6"/>
  <c r="G8" i="6" s="1"/>
  <c r="F11" i="6"/>
  <c r="F16" i="6"/>
  <c r="F17" i="6"/>
  <c r="F18" i="6"/>
  <c r="F19" i="6"/>
  <c r="F20" i="6"/>
  <c r="F21" i="6"/>
  <c r="F9" i="6"/>
  <c r="C7" i="6"/>
  <c r="C8" i="6"/>
  <c r="F15" i="6"/>
  <c r="E12" i="6" l="1"/>
  <c r="G12" i="6" s="1"/>
  <c r="G7" i="6"/>
  <c r="F8" i="6"/>
  <c r="E13" i="6"/>
  <c r="F7" i="6"/>
  <c r="F12" i="6" l="1"/>
  <c r="F13" i="6"/>
  <c r="G13" i="6"/>
  <c r="J11" i="9"/>
  <c r="F11" i="9"/>
  <c r="K11" i="9" l="1"/>
</calcChain>
</file>

<file path=xl/sharedStrings.xml><?xml version="1.0" encoding="utf-8"?>
<sst xmlns="http://schemas.openxmlformats.org/spreadsheetml/2006/main" count="271" uniqueCount="146">
  <si>
    <t>DEA</t>
  </si>
  <si>
    <t>Secretario de Departamento</t>
  </si>
  <si>
    <t>A1</t>
  </si>
  <si>
    <t>A2</t>
  </si>
  <si>
    <t>B</t>
  </si>
  <si>
    <t>C1</t>
  </si>
  <si>
    <t>C2</t>
  </si>
  <si>
    <t>CUERPO</t>
  </si>
  <si>
    <t>SUELDO</t>
  </si>
  <si>
    <t>TOTAL MES</t>
  </si>
  <si>
    <t>TRIENIOS</t>
  </si>
  <si>
    <t>T.C.</t>
  </si>
  <si>
    <t>NIVEL 29</t>
  </si>
  <si>
    <t>NIVEL 27</t>
  </si>
  <si>
    <t>NIVEL 26</t>
  </si>
  <si>
    <t>MENSUAL</t>
  </si>
  <si>
    <t>RESID. POR TRIENIO</t>
  </si>
  <si>
    <t>PASIVOS</t>
  </si>
  <si>
    <t>MUFACE</t>
  </si>
  <si>
    <t>GRUPO A</t>
  </si>
  <si>
    <t>E</t>
  </si>
  <si>
    <t>65% T.U.</t>
  </si>
  <si>
    <t>65% + 2% T.U.</t>
  </si>
  <si>
    <t>65% + 5% T.U.</t>
  </si>
  <si>
    <t>90% T.U.</t>
  </si>
  <si>
    <t>100% T.U.</t>
  </si>
  <si>
    <t>85% T.U.</t>
  </si>
  <si>
    <t>85% + 2% T.U.</t>
  </si>
  <si>
    <t>85% + 5% T.U.</t>
  </si>
  <si>
    <t>60 % T.U.</t>
  </si>
  <si>
    <t>30 % T.U.</t>
  </si>
  <si>
    <t>25 % T.U.</t>
  </si>
  <si>
    <t>20 % T.U.</t>
  </si>
  <si>
    <t>15 % T.U.</t>
  </si>
  <si>
    <t>10 % T.U.</t>
  </si>
  <si>
    <t>COMPLEMENTO
DESTINO</t>
  </si>
  <si>
    <t>COMPLEMENTO
ESPECÍFICO</t>
  </si>
  <si>
    <t>SUELDO
P. EXTRA</t>
  </si>
  <si>
    <t>P. ADICIONAL</t>
  </si>
  <si>
    <t>TRIENIO
P. EXTRA</t>
  </si>
  <si>
    <t>TOTAL
P. EXTRA</t>
  </si>
  <si>
    <t>TOTAL AÑO</t>
  </si>
  <si>
    <t>TRIENIO</t>
  </si>
  <si>
    <t>QUINQUENIO/
SEXENIO</t>
  </si>
  <si>
    <t>CATEDRÁTICO DE UNIVERSIDAD</t>
  </si>
  <si>
    <t>6 H</t>
  </si>
  <si>
    <t>5 H</t>
  </si>
  <si>
    <t>4 H</t>
  </si>
  <si>
    <t>3 H</t>
  </si>
  <si>
    <t>TITULAR DE UNIVERSIDAD Y</t>
  </si>
  <si>
    <t>CATEDRÁTICO ESC. UNIVERSITARIA</t>
  </si>
  <si>
    <t>TITULAR DE ESCUELA UNIVERSITARIA</t>
  </si>
  <si>
    <t>Horas</t>
  </si>
  <si>
    <t>2 H</t>
  </si>
  <si>
    <t>INDEMNIZACIÓN POR RESIDENCIA</t>
  </si>
  <si>
    <t>GRUPO</t>
  </si>
  <si>
    <t>NORMAL</t>
  </si>
  <si>
    <t>EXTRA</t>
  </si>
  <si>
    <t>IMPORTE</t>
  </si>
  <si>
    <t>CD Director General</t>
  </si>
  <si>
    <t>COEF. REDUCTOR</t>
  </si>
  <si>
    <t>Tiempo completo</t>
  </si>
  <si>
    <t>6 horas</t>
  </si>
  <si>
    <t>5 horas</t>
  </si>
  <si>
    <t>4 horas</t>
  </si>
  <si>
    <t>3 horas</t>
  </si>
  <si>
    <t>2 horas</t>
  </si>
  <si>
    <t>Colaborador (DEA)</t>
  </si>
  <si>
    <t>Categoría</t>
  </si>
  <si>
    <t>Dedicación</t>
  </si>
  <si>
    <t>Sueldo</t>
  </si>
  <si>
    <t>Complemento
Doctorado</t>
  </si>
  <si>
    <t>Total Mes</t>
  </si>
  <si>
    <t>Paga Extra</t>
  </si>
  <si>
    <t>Coeficiente
reductor 2020</t>
  </si>
  <si>
    <t>Profesor Ayudante</t>
  </si>
  <si>
    <t>Profesor Ayudante (DEA)</t>
  </si>
  <si>
    <t>Profesor Ayudante (Doctor)</t>
  </si>
  <si>
    <t>Profesor Ayudante Doctor</t>
  </si>
  <si>
    <t>Profesor Contratado Doctor</t>
  </si>
  <si>
    <t>Profesor Colaborador</t>
  </si>
  <si>
    <t>Profesor Colaborador (Doctor)</t>
  </si>
  <si>
    <t>Profesor Visitante</t>
  </si>
  <si>
    <t>Profesor Visitante Doctor</t>
  </si>
  <si>
    <t>Profesor Interino</t>
  </si>
  <si>
    <t>Profesor Asociado/Interino</t>
  </si>
  <si>
    <t>Profesor Asociado Ciencias de la Salud</t>
  </si>
  <si>
    <t>Doctor</t>
  </si>
  <si>
    <t>Trienios asociados e interinos a tiempo parcial</t>
  </si>
  <si>
    <t>Importe trienio</t>
  </si>
  <si>
    <t>Importe trienio P. Extra</t>
  </si>
  <si>
    <t>Complemento por Doctorado (Profesores Asociados)</t>
  </si>
  <si>
    <t>Complemento por Cargo Académico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</si>
  <si>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</si>
  <si>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</si>
  <si>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</si>
  <si>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</si>
  <si>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</si>
  <si>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</si>
  <si>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</si>
  <si>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</si>
  <si>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Director de Instituto Universitario y de Escuela de Estomatología</t>
  </si>
  <si>
    <t>Coordinador del Curso de Orientación Universitaria</t>
  </si>
  <si>
    <t>Complemento Singular
Categoría</t>
  </si>
  <si>
    <t>Quinquenio/Sexenio Profesor Colaborador</t>
  </si>
  <si>
    <t>Quinquenio/Sexenio Profesor Contratado Doctor</t>
  </si>
  <si>
    <t>Retribuciones PDI Funcionario año 2022</t>
  </si>
  <si>
    <t>Retribuciones Profesorado Laboral LOU año 2022</t>
  </si>
  <si>
    <r>
      <rPr>
        <b/>
        <sz val="6.5"/>
        <rFont val="Arial"/>
        <family val="2"/>
      </rPr>
      <t>RETRIBUCIONES PERSONAL S.A.S R. 0001/2022</t>
    </r>
  </si>
  <si>
    <t>ANEXO XVIII - RETRIBUCIONES PERSONAL CON PLAZA VINCULADA.</t>
  </si>
  <si>
    <t>C. DESTINO</t>
  </si>
  <si>
    <t>C. ESPECIFICO</t>
  </si>
  <si>
    <t>PRODUCT. (FRP)</t>
  </si>
  <si>
    <t>UNIVER</t>
  </si>
  <si>
    <t>S.A.S.</t>
  </si>
  <si>
    <t>TOTAL</t>
  </si>
  <si>
    <t>UNIVERS</t>
  </si>
  <si>
    <t>Catedrático Universidad</t>
  </si>
  <si>
    <t xml:space="preserve">Jef. Dpto. </t>
  </si>
  <si>
    <t>TC</t>
  </si>
  <si>
    <t>TP</t>
  </si>
  <si>
    <t>Jef. Servicio</t>
  </si>
  <si>
    <t>Jef. Sección</t>
  </si>
  <si>
    <t>Facul. Espec</t>
  </si>
  <si>
    <t>Titular Universidad, Cat. Esc. Universitaria y Profesor Contratado Doctor</t>
  </si>
  <si>
    <t xml:space="preserve">Jef. Sección </t>
  </si>
  <si>
    <t>Enfermero Sup</t>
  </si>
  <si>
    <t>Enfer Hosp.</t>
  </si>
  <si>
    <t>Prof. Titular Esc. Universitaria</t>
  </si>
  <si>
    <t>Prof. Titular Esc. Universitaria/ATS-DUE</t>
  </si>
  <si>
    <r>
      <rPr>
        <b/>
        <i/>
        <sz val="5.5"/>
        <rFont val="Arial"/>
        <family val="2"/>
      </rPr>
      <t xml:space="preserve">RD 1.086/89 : Tiempo Parcial
</t>
    </r>
    <r>
      <rPr>
        <b/>
        <sz val="5.5"/>
        <rFont val="Arial"/>
        <family val="2"/>
      </rPr>
      <t>Coefic.:                           0,0361                                                                                Horas lectivas y de Tutoría semanales ( 12horas) SUELDO: Sueldo Universidad x Coeficiente x 12
C. DESTINO: (Compl. Destino + Compl. Específico) x Coeficiente x 12</t>
    </r>
  </si>
  <si>
    <t>SUELDO GRUPO A1                                                                        1238,68</t>
  </si>
  <si>
    <t>PAGAS EXTRAS</t>
  </si>
  <si>
    <r>
      <rPr>
        <b/>
        <sz val="5.5"/>
        <color rgb="FFFFFFFF"/>
        <rFont val="Arial"/>
        <family val="2"/>
      </rPr>
      <t xml:space="preserve">Universidad              </t>
    </r>
    <r>
      <rPr>
        <sz val="5.5"/>
        <color rgb="FFFFFFFF"/>
        <rFont val="Arial"/>
        <family val="2"/>
      </rPr>
      <t>0,433200911
SAS                            0,566799089</t>
    </r>
  </si>
  <si>
    <t xml:space="preserve">                                                                                                             NIVEL 26           NIVEL 27          NIVEL 29
C DESTINO                                                                                         779,83               888,86               970,49</t>
  </si>
  <si>
    <r>
      <rPr>
        <b/>
        <sz val="5.5"/>
        <rFont val="Arial"/>
        <family val="2"/>
      </rPr>
      <t>Resolución Secretaría de Estado Hacienda 7-3-88
Resolución 25/05/2010 de la Secretaría de Estado de Hacienda y Presupuestos (BOE 26/05/2010)</t>
    </r>
  </si>
  <si>
    <t>COMPLEMENTO DE CARRERA PROFESIONAL (Euros/mes). PERSONAL CON PLAZA VINCULADA</t>
  </si>
  <si>
    <t>GRUPO PROFESIONAL</t>
  </si>
  <si>
    <t>N I</t>
  </si>
  <si>
    <t>N II</t>
  </si>
  <si>
    <t>N III</t>
  </si>
  <si>
    <t>N IV</t>
  </si>
  <si>
    <t>N V</t>
  </si>
  <si>
    <t>LlCENCIADO SANITARIO ESPECIALISTA</t>
  </si>
  <si>
    <t>LICENCIADO SANITARIO</t>
  </si>
  <si>
    <t>DIPLOMADO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</si>
</sst>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sz val="10"/>
      <color rgb="FF000000"/>
      <name val="Arial"/>
      <family val="2"/>
    </font>
    <font>
      <b/>
      <sz val="5"/>
      <name val="Arial"/>
      <family val="2"/>
    </font>
    <font>
      <b/>
      <sz val="5.5"/>
      <name val="Arial"/>
      <family val="2"/>
    </font>
    <font>
      <b/>
      <i/>
      <sz val="5.5"/>
      <name val="Arial"/>
      <family val="2"/>
    </font>
    <font>
      <b/>
      <sz val="5"/>
      <color rgb="FF000000"/>
      <name val="Arial"/>
      <family val="2"/>
    </font>
    <font>
      <sz val="5"/>
      <name val="Arial"/>
      <family val="2"/>
    </font>
    <font>
      <b/>
      <sz val="10"/>
      <color rgb="FF000000"/>
      <name val="Arial"/>
      <family val="2"/>
    </font>
    <font>
      <b/>
      <sz val="5.5"/>
      <color rgb="FFFFFFFF"/>
      <name val="Arial"/>
      <family val="2"/>
    </font>
    <font>
      <sz val="5.5"/>
      <color rgb="FFFFFFFF"/>
      <name val="Arial"/>
      <family val="2"/>
    </font>
    <font>
      <b/>
      <sz val="5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32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5" fillId="0" borderId="3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3" xfId="0" applyNumberFormat="1" applyFont="1" applyBorder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Protection="1">
      <protection hidden="1"/>
    </xf>
    <xf numFmtId="0" fontId="5" fillId="0" borderId="3" xfId="0" applyFont="1" applyBorder="1" applyAlignment="1" applyProtection="1">
      <alignment horizontal="center"/>
      <protection hidden="1"/>
    </xf>
    <xf numFmtId="164" fontId="5" fillId="0" borderId="3" xfId="0" applyNumberFormat="1" applyFont="1" applyBorder="1" applyProtection="1"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5" fillId="0" borderId="0" xfId="0" applyFont="1" applyProtection="1">
      <protection hidden="1"/>
    </xf>
    <xf numFmtId="4" fontId="5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5" fillId="0" borderId="3" xfId="1" applyFont="1" applyBorder="1" applyAlignment="1" applyProtection="1">
      <alignment horizontal="left" vertical="center"/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4" fontId="5" fillId="0" borderId="3" xfId="1" applyNumberFormat="1" applyFont="1" applyBorder="1" applyAlignment="1" applyProtection="1">
      <alignment horizontal="right" vertical="center"/>
      <protection hidden="1"/>
    </xf>
    <xf numFmtId="4" fontId="6" fillId="0" borderId="3" xfId="1" applyNumberFormat="1" applyFont="1" applyBorder="1" applyAlignment="1">
      <alignment horizontal="right" vertical="center"/>
    </xf>
    <xf numFmtId="4" fontId="8" fillId="0" borderId="3" xfId="0" applyNumberFormat="1" applyFont="1" applyBorder="1" applyAlignment="1" applyProtection="1">
      <alignment horizontal="right"/>
      <protection hidden="1"/>
    </xf>
    <xf numFmtId="2" fontId="8" fillId="0" borderId="3" xfId="0" applyNumberFormat="1" applyFont="1" applyBorder="1" applyAlignment="1" applyProtection="1">
      <alignment horizontal="right"/>
      <protection hidden="1"/>
    </xf>
    <xf numFmtId="2" fontId="8" fillId="0" borderId="3" xfId="0" applyNumberFormat="1" applyFont="1" applyBorder="1" applyProtection="1">
      <protection hidden="1"/>
    </xf>
    <xf numFmtId="0" fontId="8" fillId="0" borderId="3" xfId="0" applyFont="1" applyBorder="1" applyAlignment="1" applyProtection="1">
      <alignment horizontal="right"/>
      <protection hidden="1"/>
    </xf>
    <xf numFmtId="2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4" fontId="0" fillId="0" borderId="0" xfId="0" applyNumberForma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" fontId="5" fillId="0" borderId="0" xfId="0" applyNumberFormat="1" applyFont="1" applyFill="1" applyProtection="1">
      <protection hidden="1"/>
    </xf>
    <xf numFmtId="0" fontId="8" fillId="0" borderId="3" xfId="0" applyFont="1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5" fillId="0" borderId="3" xfId="1" applyFont="1" applyBorder="1" applyAlignment="1" applyProtection="1">
      <alignment horizontal="left" vertical="center"/>
      <protection hidden="1"/>
    </xf>
    <xf numFmtId="0" fontId="4" fillId="0" borderId="3" xfId="1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4" fontId="8" fillId="0" borderId="3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1" fillId="3" borderId="0" xfId="2" applyFont="1" applyFill="1" applyAlignment="1">
      <alignment horizontal="left" vertical="center" wrapText="1" indent="36"/>
    </xf>
    <xf numFmtId="0" fontId="10" fillId="0" borderId="0" xfId="2" applyAlignment="1">
      <alignment horizontal="left" vertical="top"/>
    </xf>
    <xf numFmtId="0" fontId="12" fillId="0" borderId="0" xfId="2" applyFont="1" applyAlignment="1">
      <alignment horizontal="left" vertical="center" wrapText="1"/>
    </xf>
    <xf numFmtId="0" fontId="13" fillId="2" borderId="12" xfId="2" applyFont="1" applyFill="1" applyBorder="1" applyAlignment="1">
      <alignment horizontal="left" vertical="top" wrapText="1" indent="21"/>
    </xf>
    <xf numFmtId="0" fontId="14" fillId="4" borderId="13" xfId="2" applyFont="1" applyFill="1" applyBorder="1" applyAlignment="1">
      <alignment horizontal="center" vertical="top" wrapText="1"/>
    </xf>
    <xf numFmtId="0" fontId="14" fillId="4" borderId="14" xfId="2" applyFont="1" applyFill="1" applyBorder="1" applyAlignment="1">
      <alignment horizontal="center" vertical="top" wrapText="1"/>
    </xf>
    <xf numFmtId="0" fontId="14" fillId="4" borderId="15" xfId="2" applyFont="1" applyFill="1" applyBorder="1" applyAlignment="1">
      <alignment horizontal="center" vertical="top" wrapText="1"/>
    </xf>
    <xf numFmtId="0" fontId="14" fillId="4" borderId="13" xfId="2" applyFont="1" applyFill="1" applyBorder="1" applyAlignment="1">
      <alignment horizontal="left" vertical="top" wrapText="1" indent="5"/>
    </xf>
    <xf numFmtId="0" fontId="14" fillId="4" borderId="14" xfId="2" applyFont="1" applyFill="1" applyBorder="1" applyAlignment="1">
      <alignment horizontal="left" vertical="top" wrapText="1" indent="5"/>
    </xf>
    <xf numFmtId="0" fontId="14" fillId="4" borderId="15" xfId="2" applyFont="1" applyFill="1" applyBorder="1" applyAlignment="1">
      <alignment horizontal="left" vertical="top" wrapText="1" indent="5"/>
    </xf>
    <xf numFmtId="0" fontId="14" fillId="4" borderId="13" xfId="2" applyFont="1" applyFill="1" applyBorder="1" applyAlignment="1">
      <alignment horizontal="left" vertical="top" wrapText="1" indent="4"/>
    </xf>
    <xf numFmtId="0" fontId="14" fillId="4" borderId="14" xfId="2" applyFont="1" applyFill="1" applyBorder="1" applyAlignment="1">
      <alignment horizontal="left" vertical="top" wrapText="1" indent="4"/>
    </xf>
    <xf numFmtId="0" fontId="14" fillId="4" borderId="15" xfId="2" applyFont="1" applyFill="1" applyBorder="1" applyAlignment="1">
      <alignment horizontal="left" vertical="top" wrapText="1" indent="4"/>
    </xf>
    <xf numFmtId="0" fontId="14" fillId="4" borderId="13" xfId="2" applyFont="1" applyFill="1" applyBorder="1" applyAlignment="1">
      <alignment horizontal="left" vertical="top" wrapText="1" indent="3"/>
    </xf>
    <xf numFmtId="0" fontId="14" fillId="4" borderId="15" xfId="2" applyFont="1" applyFill="1" applyBorder="1" applyAlignment="1">
      <alignment horizontal="left" vertical="top" wrapText="1" indent="3"/>
    </xf>
    <xf numFmtId="0" fontId="12" fillId="0" borderId="16" xfId="2" applyFont="1" applyBorder="1" applyAlignment="1">
      <alignment horizontal="left" wrapText="1"/>
    </xf>
    <xf numFmtId="0" fontId="14" fillId="0" borderId="16" xfId="2" applyFont="1" applyBorder="1" applyAlignment="1">
      <alignment horizontal="left" vertical="top" wrapText="1" indent="1"/>
    </xf>
    <xf numFmtId="0" fontId="14" fillId="0" borderId="16" xfId="2" applyFont="1" applyBorder="1" applyAlignment="1">
      <alignment horizontal="left" vertical="top" wrapText="1" indent="2"/>
    </xf>
    <xf numFmtId="0" fontId="15" fillId="5" borderId="0" xfId="2" applyFont="1" applyFill="1" applyAlignment="1">
      <alignment horizontal="left" vertical="top" wrapText="1"/>
    </xf>
    <xf numFmtId="0" fontId="12" fillId="0" borderId="0" xfId="2" applyFont="1" applyAlignment="1">
      <alignment horizontal="left" vertical="top"/>
    </xf>
    <xf numFmtId="0" fontId="12" fillId="0" borderId="14" xfId="2" applyFont="1" applyBorder="1" applyAlignment="1">
      <alignment horizontal="left" wrapText="1"/>
    </xf>
    <xf numFmtId="0" fontId="16" fillId="0" borderId="17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top" wrapText="1"/>
    </xf>
    <xf numFmtId="4" fontId="16" fillId="0" borderId="16" xfId="2" applyNumberFormat="1" applyFont="1" applyBorder="1" applyAlignment="1">
      <alignment horizontal="right" vertical="top" shrinkToFit="1"/>
    </xf>
    <xf numFmtId="2" fontId="16" fillId="0" borderId="16" xfId="2" applyNumberFormat="1" applyFont="1" applyBorder="1" applyAlignment="1">
      <alignment horizontal="right" vertical="top" shrinkToFit="1"/>
    </xf>
    <xf numFmtId="0" fontId="17" fillId="0" borderId="16" xfId="2" applyFont="1" applyBorder="1" applyAlignment="1">
      <alignment horizontal="left" vertical="top" wrapText="1"/>
    </xf>
    <xf numFmtId="0" fontId="12" fillId="0" borderId="17" xfId="2" applyFont="1" applyBorder="1" applyAlignment="1">
      <alignment horizontal="left" vertical="top" wrapText="1"/>
    </xf>
    <xf numFmtId="0" fontId="18" fillId="0" borderId="0" xfId="2" applyFont="1" applyAlignment="1">
      <alignment horizontal="left" vertical="top"/>
    </xf>
    <xf numFmtId="0" fontId="12" fillId="0" borderId="12" xfId="2" applyFont="1" applyBorder="1" applyAlignment="1">
      <alignment horizontal="left" vertical="top" wrapText="1"/>
    </xf>
    <xf numFmtId="0" fontId="12" fillId="0" borderId="18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left" vertical="top" wrapText="1"/>
    </xf>
    <xf numFmtId="0" fontId="12" fillId="0" borderId="14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 wrapText="1"/>
    </xf>
    <xf numFmtId="0" fontId="14" fillId="0" borderId="13" xfId="2" applyFont="1" applyBorder="1" applyAlignment="1">
      <alignment horizontal="left" vertical="top" wrapText="1"/>
    </xf>
    <xf numFmtId="0" fontId="14" fillId="0" borderId="14" xfId="2" applyFont="1" applyBorder="1" applyAlignment="1">
      <alignment horizontal="left" vertical="top" wrapText="1"/>
    </xf>
    <xf numFmtId="0" fontId="14" fillId="0" borderId="15" xfId="2" applyFont="1" applyBorder="1" applyAlignment="1">
      <alignment horizontal="left" vertical="top" wrapText="1"/>
    </xf>
    <xf numFmtId="0" fontId="14" fillId="0" borderId="19" xfId="2" applyFont="1" applyBorder="1" applyAlignment="1">
      <alignment horizontal="left" vertical="top" wrapText="1" indent="5"/>
    </xf>
    <xf numFmtId="0" fontId="14" fillId="0" borderId="20" xfId="2" applyFont="1" applyBorder="1" applyAlignment="1">
      <alignment horizontal="left" vertical="top" wrapText="1" indent="5"/>
    </xf>
    <xf numFmtId="0" fontId="14" fillId="0" borderId="21" xfId="2" applyFont="1" applyBorder="1" applyAlignment="1">
      <alignment horizontal="left" vertical="top" wrapText="1" indent="5"/>
    </xf>
    <xf numFmtId="0" fontId="14" fillId="0" borderId="16" xfId="2" applyFont="1" applyBorder="1" applyAlignment="1">
      <alignment horizontal="left" vertical="top" wrapText="1"/>
    </xf>
    <xf numFmtId="0" fontId="12" fillId="0" borderId="22" xfId="2" applyFont="1" applyBorder="1" applyAlignment="1">
      <alignment horizontal="left" vertical="top" wrapText="1" indent="5"/>
    </xf>
    <xf numFmtId="0" fontId="12" fillId="0" borderId="0" xfId="2" applyFont="1" applyAlignment="1">
      <alignment horizontal="left" vertical="top" wrapText="1" indent="5"/>
    </xf>
    <xf numFmtId="0" fontId="12" fillId="0" borderId="13" xfId="2" applyFont="1" applyBorder="1" applyAlignment="1">
      <alignment horizontal="left" wrapText="1"/>
    </xf>
    <xf numFmtId="0" fontId="12" fillId="0" borderId="15" xfId="2" applyFont="1" applyBorder="1" applyAlignment="1">
      <alignment horizontal="left" wrapText="1"/>
    </xf>
    <xf numFmtId="0" fontId="14" fillId="0" borderId="23" xfId="2" applyFont="1" applyBorder="1" applyAlignment="1">
      <alignment horizontal="left" vertical="top" wrapText="1" indent="5"/>
    </xf>
    <xf numFmtId="0" fontId="14" fillId="0" borderId="12" xfId="2" applyFont="1" applyBorder="1" applyAlignment="1">
      <alignment horizontal="left" vertical="top" wrapText="1" indent="5"/>
    </xf>
    <xf numFmtId="0" fontId="14" fillId="0" borderId="18" xfId="2" applyFont="1" applyBorder="1" applyAlignment="1">
      <alignment horizontal="left" vertical="top" wrapText="1" indent="5"/>
    </xf>
    <xf numFmtId="2" fontId="21" fillId="0" borderId="16" xfId="2" applyNumberFormat="1" applyFont="1" applyBorder="1" applyAlignment="1">
      <alignment horizontal="right" vertical="top" shrinkToFit="1"/>
    </xf>
    <xf numFmtId="0" fontId="12" fillId="0" borderId="23" xfId="2" applyFont="1" applyBorder="1" applyAlignment="1">
      <alignment horizontal="left" vertical="top" wrapText="1" indent="5"/>
    </xf>
    <xf numFmtId="0" fontId="12" fillId="0" borderId="12" xfId="2" applyFont="1" applyBorder="1" applyAlignment="1">
      <alignment horizontal="left" vertical="top" wrapText="1" indent="5"/>
    </xf>
    <xf numFmtId="0" fontId="13" fillId="4" borderId="14" xfId="2" applyFont="1" applyFill="1" applyBorder="1" applyAlignment="1">
      <alignment horizontal="center" vertical="top" wrapText="1"/>
    </xf>
    <xf numFmtId="0" fontId="13" fillId="4" borderId="15" xfId="2" applyFont="1" applyFill="1" applyBorder="1" applyAlignment="1">
      <alignment horizontal="center" vertical="top" wrapText="1"/>
    </xf>
    <xf numFmtId="0" fontId="12" fillId="0" borderId="19" xfId="2" applyFont="1" applyBorder="1" applyAlignment="1">
      <alignment horizontal="left" vertical="top" wrapText="1"/>
    </xf>
    <xf numFmtId="0" fontId="12" fillId="0" borderId="20" xfId="2" applyFont="1" applyBorder="1" applyAlignment="1">
      <alignment horizontal="left" vertical="top" wrapText="1"/>
    </xf>
    <xf numFmtId="0" fontId="13" fillId="3" borderId="13" xfId="2" applyFont="1" applyFill="1" applyBorder="1" applyAlignment="1">
      <alignment horizontal="center" vertical="top" wrapText="1"/>
    </xf>
    <xf numFmtId="0" fontId="13" fillId="3" borderId="14" xfId="2" applyFont="1" applyFill="1" applyBorder="1" applyAlignment="1">
      <alignment horizontal="center" vertical="top" wrapText="1"/>
    </xf>
    <xf numFmtId="0" fontId="13" fillId="3" borderId="15" xfId="2" applyFont="1" applyFill="1" applyBorder="1" applyAlignment="1">
      <alignment horizontal="center" vertical="top" wrapText="1"/>
    </xf>
    <xf numFmtId="0" fontId="13" fillId="3" borderId="16" xfId="2" applyFont="1" applyFill="1" applyBorder="1" applyAlignment="1">
      <alignment horizontal="left" vertical="top" wrapText="1" indent="1"/>
    </xf>
    <xf numFmtId="0" fontId="13" fillId="3" borderId="16" xfId="2" applyFont="1" applyFill="1" applyBorder="1" applyAlignment="1">
      <alignment horizontal="center" vertical="top" wrapText="1"/>
    </xf>
    <xf numFmtId="0" fontId="12" fillId="0" borderId="22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3" fillId="4" borderId="13" xfId="2" applyFont="1" applyFill="1" applyBorder="1" applyAlignment="1">
      <alignment horizontal="left" vertical="top" wrapText="1"/>
    </xf>
    <xf numFmtId="0" fontId="13" fillId="4" borderId="14" xfId="2" applyFont="1" applyFill="1" applyBorder="1" applyAlignment="1">
      <alignment horizontal="left" vertical="top" wrapText="1"/>
    </xf>
    <xf numFmtId="0" fontId="13" fillId="4" borderId="15" xfId="2" applyFont="1" applyFill="1" applyBorder="1" applyAlignment="1">
      <alignment horizontal="left" vertical="top" wrapText="1"/>
    </xf>
    <xf numFmtId="0" fontId="13" fillId="0" borderId="16" xfId="2" applyFont="1" applyBorder="1" applyAlignment="1">
      <alignment horizontal="center" vertical="top" wrapText="1"/>
    </xf>
    <xf numFmtId="2" fontId="16" fillId="0" borderId="16" xfId="2" applyNumberFormat="1" applyFont="1" applyBorder="1" applyAlignment="1">
      <alignment horizontal="center" vertical="top" shrinkToFit="1"/>
    </xf>
  </cellXfs>
  <cellStyles count="3">
    <cellStyle name="Normal" xfId="0" builtinId="0"/>
    <cellStyle name="Normal 2" xfId="1" xr:uid="{00000000-0005-0000-0000-000001000000}"/>
    <cellStyle name="Normal 3" xfId="2" xr:uid="{8461ECE2-BBC5-45EB-BD7F-5DC7AA5AEE3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18395" y="7107491"/>
    <xdr:ext cx="1050163" cy="1050163"/>
    <xdr:pic>
      <xdr:nvPicPr>
        <xdr:cNvPr id="2" name="image1.png">
          <a:extLst>
            <a:ext uri="{FF2B5EF4-FFF2-40B4-BE49-F238E27FC236}">
              <a16:creationId xmlns:a16="http://schemas.microsoft.com/office/drawing/2014/main" id="{4DD172F4-DD60-4934-9361-74D8DDC79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395" y="7107491"/>
          <a:ext cx="1050163" cy="1050163"/>
        </a:xfrm>
        <a:prstGeom prst="rect">
          <a:avLst/>
        </a:prstGeom>
      </xdr:spPr>
    </xdr:pic>
    <xdr:clientData/>
  </xdr:absoluteAnchor>
  <xdr:oneCellAnchor>
    <xdr:from>
      <xdr:col>0</xdr:col>
      <xdr:colOff>14653</xdr:colOff>
      <xdr:row>0</xdr:row>
      <xdr:rowOff>0</xdr:rowOff>
    </xdr:from>
    <xdr:ext cx="1197208" cy="383346"/>
    <xdr:pic>
      <xdr:nvPicPr>
        <xdr:cNvPr id="3" name="image2.jpeg">
          <a:extLst>
            <a:ext uri="{FF2B5EF4-FFF2-40B4-BE49-F238E27FC236}">
              <a16:creationId xmlns:a16="http://schemas.microsoft.com/office/drawing/2014/main" id="{DD15CD68-87A7-4709-9FA6-13CCB10B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0"/>
          <a:ext cx="1197208" cy="3833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workbookViewId="0">
      <selection activeCell="L23" sqref="L23"/>
    </sheetView>
  </sheetViews>
  <sheetFormatPr baseColWidth="10" defaultRowHeight="15" x14ac:dyDescent="0.25"/>
  <cols>
    <col min="1" max="1" width="38.7109375" style="3" bestFit="1" customWidth="1"/>
    <col min="2" max="2" width="6.42578125" style="3" bestFit="1" customWidth="1"/>
    <col min="3" max="3" width="10.140625" style="3" bestFit="1" customWidth="1"/>
    <col min="4" max="4" width="16.140625" style="3" customWidth="1"/>
    <col min="5" max="5" width="17.140625" style="3" customWidth="1"/>
    <col min="6" max="7" width="11.5703125" style="3" bestFit="1" customWidth="1"/>
    <col min="8" max="8" width="16.5703125" style="3" customWidth="1"/>
    <col min="9" max="11" width="11.5703125" style="3" bestFit="1" customWidth="1"/>
    <col min="12" max="12" width="9.42578125" style="3" customWidth="1"/>
    <col min="13" max="13" width="15" style="3" customWidth="1"/>
    <col min="14" max="14" width="6.28515625" style="3" customWidth="1"/>
    <col min="15" max="16384" width="11.42578125" style="3"/>
  </cols>
  <sheetData>
    <row r="1" spans="1:13" ht="21" x14ac:dyDescent="0.35">
      <c r="A1" s="46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3" spans="1:13" ht="33.75" x14ac:dyDescent="0.25">
      <c r="A3" s="1" t="s">
        <v>7</v>
      </c>
      <c r="B3" s="1" t="s">
        <v>52</v>
      </c>
      <c r="C3" s="1" t="s">
        <v>8</v>
      </c>
      <c r="D3" s="2" t="s">
        <v>35</v>
      </c>
      <c r="E3" s="2" t="s">
        <v>36</v>
      </c>
      <c r="F3" s="1" t="s">
        <v>9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42" t="s">
        <v>43</v>
      </c>
    </row>
    <row r="4" spans="1:13" x14ac:dyDescent="0.25">
      <c r="A4" s="4" t="s">
        <v>44</v>
      </c>
      <c r="B4" s="5" t="s">
        <v>11</v>
      </c>
      <c r="C4" s="18">
        <v>1238.68</v>
      </c>
      <c r="D4" s="18">
        <v>970.49</v>
      </c>
      <c r="E4" s="18">
        <v>1094.19</v>
      </c>
      <c r="F4" s="18">
        <f>C4+D4+E4</f>
        <v>3303.36</v>
      </c>
      <c r="G4" s="18">
        <v>764.37</v>
      </c>
      <c r="H4" s="18">
        <f>E4</f>
        <v>1094.19</v>
      </c>
      <c r="I4" s="18">
        <v>29.43</v>
      </c>
      <c r="J4" s="18">
        <f>G4+D4</f>
        <v>1734.8600000000001</v>
      </c>
      <c r="K4" s="18">
        <f>((F4*12)+(J4*2)+(H4*2))</f>
        <v>45298.42</v>
      </c>
      <c r="L4" s="18">
        <v>47.67</v>
      </c>
      <c r="M4" s="18">
        <v>165.95</v>
      </c>
    </row>
    <row r="5" spans="1:13" x14ac:dyDescent="0.25">
      <c r="A5" s="4" t="s">
        <v>12</v>
      </c>
      <c r="B5" s="5" t="s">
        <v>45</v>
      </c>
      <c r="C5" s="6">
        <f>C4*D25</f>
        <v>536.59617600000001</v>
      </c>
      <c r="D5" s="6">
        <f>D4*D25</f>
        <v>420.416268</v>
      </c>
      <c r="E5" s="6">
        <f>E4*D25</f>
        <v>474.003108</v>
      </c>
      <c r="F5" s="6">
        <f>C5+D5+H5</f>
        <v>1431.0155519999998</v>
      </c>
      <c r="G5" s="6">
        <f>G4*D25</f>
        <v>331.12508399999996</v>
      </c>
      <c r="H5" s="6">
        <f>H4*D25</f>
        <v>474.003108</v>
      </c>
      <c r="I5" s="6">
        <f>I4*D25</f>
        <v>12.749075999999999</v>
      </c>
      <c r="J5" s="6">
        <f t="shared" ref="J5:J8" si="0">G5+D5</f>
        <v>751.54135199999996</v>
      </c>
      <c r="K5" s="6">
        <f t="shared" ref="K5:K8" si="1">((F5*12)+(J5*2)+(H5*2))</f>
        <v>19623.275544</v>
      </c>
      <c r="L5" s="6">
        <f>L4*D25</f>
        <v>20.650644</v>
      </c>
      <c r="M5" s="18"/>
    </row>
    <row r="6" spans="1:13" x14ac:dyDescent="0.25">
      <c r="A6" s="5"/>
      <c r="B6" s="5" t="s">
        <v>46</v>
      </c>
      <c r="C6" s="6">
        <f>C4*D26</f>
        <v>447.16347999999999</v>
      </c>
      <c r="D6" s="6">
        <f>D4*D26</f>
        <v>350.34688999999997</v>
      </c>
      <c r="E6" s="6">
        <f>E4*D26</f>
        <v>395.00259</v>
      </c>
      <c r="F6" s="6">
        <f t="shared" ref="F6:F8" si="2">C6+D6+E6</f>
        <v>1192.51296</v>
      </c>
      <c r="G6" s="6">
        <f>G4*D26</f>
        <v>275.93756999999999</v>
      </c>
      <c r="H6" s="6">
        <f>H4*D26</f>
        <v>395.00259</v>
      </c>
      <c r="I6" s="6">
        <f>I4*D26</f>
        <v>10.624229999999999</v>
      </c>
      <c r="J6" s="6">
        <f t="shared" si="0"/>
        <v>626.28445999999997</v>
      </c>
      <c r="K6" s="6">
        <f t="shared" si="1"/>
        <v>16352.72962</v>
      </c>
      <c r="L6" s="6">
        <f>L4*D26</f>
        <v>17.208870000000001</v>
      </c>
      <c r="M6" s="18"/>
    </row>
    <row r="7" spans="1:13" x14ac:dyDescent="0.25">
      <c r="A7" s="5"/>
      <c r="B7" s="5" t="s">
        <v>47</v>
      </c>
      <c r="C7" s="6">
        <f>C4*D27</f>
        <v>357.73078400000003</v>
      </c>
      <c r="D7" s="6">
        <f>D4*D27</f>
        <v>280.277512</v>
      </c>
      <c r="E7" s="6">
        <f>E4*D27</f>
        <v>316.002072</v>
      </c>
      <c r="F7" s="6">
        <f t="shared" si="2"/>
        <v>954.01036799999997</v>
      </c>
      <c r="G7" s="6">
        <f>G4*D27</f>
        <v>220.750056</v>
      </c>
      <c r="H7" s="6">
        <f>H4*D27</f>
        <v>316.002072</v>
      </c>
      <c r="I7" s="6">
        <f>I4*D27</f>
        <v>8.4993839999999992</v>
      </c>
      <c r="J7" s="6">
        <f t="shared" si="0"/>
        <v>501.02756799999997</v>
      </c>
      <c r="K7" s="6">
        <f t="shared" si="1"/>
        <v>13082.183695999998</v>
      </c>
      <c r="L7" s="6">
        <f>L4*D27</f>
        <v>13.767096</v>
      </c>
      <c r="M7" s="18"/>
    </row>
    <row r="8" spans="1:13" x14ac:dyDescent="0.25">
      <c r="A8" s="5"/>
      <c r="B8" s="5" t="s">
        <v>48</v>
      </c>
      <c r="C8" s="6">
        <f>C4*D28</f>
        <v>268.29808800000001</v>
      </c>
      <c r="D8" s="6">
        <f>D4*D28</f>
        <v>210.208134</v>
      </c>
      <c r="E8" s="6">
        <f>E4*D28</f>
        <v>237.001554</v>
      </c>
      <c r="F8" s="6">
        <f t="shared" si="2"/>
        <v>715.50777599999992</v>
      </c>
      <c r="G8" s="6">
        <f>G4*D28</f>
        <v>165.56254199999998</v>
      </c>
      <c r="H8" s="6">
        <f>H4*D28</f>
        <v>237.001554</v>
      </c>
      <c r="I8" s="6">
        <f>I4*D28</f>
        <v>6.3745379999999994</v>
      </c>
      <c r="J8" s="6">
        <f t="shared" si="0"/>
        <v>375.77067599999998</v>
      </c>
      <c r="K8" s="6">
        <f t="shared" si="1"/>
        <v>9811.637772</v>
      </c>
      <c r="L8" s="6">
        <f>L4*D28</f>
        <v>10.325322</v>
      </c>
      <c r="M8" s="18"/>
    </row>
    <row r="9" spans="1:13" x14ac:dyDescent="0.25">
      <c r="A9" s="5"/>
      <c r="B9" s="17"/>
      <c r="C9" s="5"/>
      <c r="D9" s="5"/>
      <c r="E9" s="5"/>
      <c r="F9" s="5"/>
      <c r="G9" s="5"/>
      <c r="H9" s="5"/>
      <c r="I9" s="5"/>
      <c r="J9" s="5"/>
      <c r="K9" s="5"/>
      <c r="L9" s="5"/>
      <c r="M9" s="17"/>
    </row>
    <row r="10" spans="1:13" x14ac:dyDescent="0.25">
      <c r="A10" s="4" t="s">
        <v>49</v>
      </c>
      <c r="B10" s="5" t="s">
        <v>11</v>
      </c>
      <c r="C10" s="18">
        <f>C4</f>
        <v>1238.68</v>
      </c>
      <c r="D10" s="18">
        <v>888.86</v>
      </c>
      <c r="E10" s="18">
        <v>510.47</v>
      </c>
      <c r="F10" s="18">
        <f>C10+D10+E10</f>
        <v>2638.01</v>
      </c>
      <c r="G10" s="18">
        <f>G4</f>
        <v>764.37</v>
      </c>
      <c r="H10" s="18">
        <f>E10</f>
        <v>510.47</v>
      </c>
      <c r="I10" s="18">
        <f>I4</f>
        <v>29.43</v>
      </c>
      <c r="J10" s="6">
        <f>G10+D10</f>
        <v>1653.23</v>
      </c>
      <c r="K10" s="6">
        <f>((F10*12)+(J10*2)+(H10*2))</f>
        <v>35983.520000000004</v>
      </c>
      <c r="L10" s="18">
        <f>L4</f>
        <v>47.67</v>
      </c>
      <c r="M10" s="18">
        <v>134.41</v>
      </c>
    </row>
    <row r="11" spans="1:13" x14ac:dyDescent="0.25">
      <c r="A11" s="4" t="s">
        <v>50</v>
      </c>
      <c r="B11" s="5" t="s">
        <v>45</v>
      </c>
      <c r="C11" s="6">
        <f>C10*0.4332</f>
        <v>536.59617600000001</v>
      </c>
      <c r="D11" s="6">
        <f>D10*D25</f>
        <v>385.05415199999999</v>
      </c>
      <c r="E11" s="6">
        <f>E10*D25</f>
        <v>221.135604</v>
      </c>
      <c r="F11" s="6">
        <f>C11+D11+H11</f>
        <v>1142.785932</v>
      </c>
      <c r="G11" s="6">
        <f>G10*D25</f>
        <v>331.12508399999996</v>
      </c>
      <c r="H11" s="6">
        <f>H10*D25</f>
        <v>221.135604</v>
      </c>
      <c r="I11" s="6">
        <f>I10*D25</f>
        <v>12.749075999999999</v>
      </c>
      <c r="J11" s="6">
        <f t="shared" ref="J11:J14" si="3">G11+D11</f>
        <v>716.17923599999995</v>
      </c>
      <c r="K11" s="6">
        <f t="shared" ref="K11:K14" si="4">((F11*12)+(J11*2)+(H11*2))</f>
        <v>15588.060864000001</v>
      </c>
      <c r="L11" s="6">
        <f>L10*D25</f>
        <v>20.650644</v>
      </c>
      <c r="M11" s="18"/>
    </row>
    <row r="12" spans="1:13" x14ac:dyDescent="0.25">
      <c r="A12" s="4" t="s">
        <v>13</v>
      </c>
      <c r="B12" s="5" t="s">
        <v>46</v>
      </c>
      <c r="C12" s="6">
        <f>C10*D26</f>
        <v>447.16347999999999</v>
      </c>
      <c r="D12" s="6">
        <f>D10*D26</f>
        <v>320.87846000000002</v>
      </c>
      <c r="E12" s="6">
        <f>E10*D26</f>
        <v>184.27967000000001</v>
      </c>
      <c r="F12" s="6">
        <f t="shared" ref="F12:F14" si="5">C12+D12+E12</f>
        <v>952.32161000000008</v>
      </c>
      <c r="G12" s="6">
        <f>G10*D26</f>
        <v>275.93756999999999</v>
      </c>
      <c r="H12" s="6">
        <f>H10*D26</f>
        <v>184.27967000000001</v>
      </c>
      <c r="I12" s="6">
        <f>I10*D26</f>
        <v>10.624229999999999</v>
      </c>
      <c r="J12" s="6">
        <f t="shared" si="3"/>
        <v>596.81602999999996</v>
      </c>
      <c r="K12" s="6">
        <f t="shared" si="4"/>
        <v>12990.050720000001</v>
      </c>
      <c r="L12" s="6">
        <f>L10*D26</f>
        <v>17.208870000000001</v>
      </c>
      <c r="M12" s="18"/>
    </row>
    <row r="13" spans="1:13" x14ac:dyDescent="0.25">
      <c r="A13" s="5"/>
      <c r="B13" s="5" t="s">
        <v>47</v>
      </c>
      <c r="C13" s="6">
        <f>C10*D27</f>
        <v>357.73078400000003</v>
      </c>
      <c r="D13" s="6">
        <f>D10*D27</f>
        <v>256.70276799999999</v>
      </c>
      <c r="E13" s="6">
        <f>E10*D27</f>
        <v>147.42373600000002</v>
      </c>
      <c r="F13" s="6">
        <f t="shared" si="5"/>
        <v>761.85728799999993</v>
      </c>
      <c r="G13" s="6">
        <f>G10*D27</f>
        <v>220.750056</v>
      </c>
      <c r="H13" s="6">
        <f>H10*D27</f>
        <v>147.42373600000002</v>
      </c>
      <c r="I13" s="6">
        <f>I10*D27</f>
        <v>8.4993839999999992</v>
      </c>
      <c r="J13" s="6">
        <f t="shared" si="3"/>
        <v>477.45282399999996</v>
      </c>
      <c r="K13" s="6">
        <f t="shared" si="4"/>
        <v>10392.040575999998</v>
      </c>
      <c r="L13" s="6">
        <f>L10*D27</f>
        <v>13.767096</v>
      </c>
      <c r="M13" s="18"/>
    </row>
    <row r="14" spans="1:13" x14ac:dyDescent="0.25">
      <c r="A14" s="5"/>
      <c r="B14" s="5" t="s">
        <v>48</v>
      </c>
      <c r="C14" s="6">
        <f>C10*D28</f>
        <v>268.29808800000001</v>
      </c>
      <c r="D14" s="6">
        <f>D10*D28</f>
        <v>192.52707599999999</v>
      </c>
      <c r="E14" s="6">
        <f>E10*D28</f>
        <v>110.567802</v>
      </c>
      <c r="F14" s="6">
        <f t="shared" si="5"/>
        <v>571.392966</v>
      </c>
      <c r="G14" s="6">
        <f>G10*D28</f>
        <v>165.56254199999998</v>
      </c>
      <c r="H14" s="6">
        <f>H10*D28</f>
        <v>110.567802</v>
      </c>
      <c r="I14" s="6">
        <f>I10*D28</f>
        <v>6.3745379999999994</v>
      </c>
      <c r="J14" s="6">
        <f t="shared" si="3"/>
        <v>358.08961799999997</v>
      </c>
      <c r="K14" s="6">
        <f t="shared" si="4"/>
        <v>7794.0304320000005</v>
      </c>
      <c r="L14" s="6">
        <f>L10*D28</f>
        <v>10.325322</v>
      </c>
      <c r="M14" s="18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7"/>
    </row>
    <row r="16" spans="1:13" x14ac:dyDescent="0.25">
      <c r="A16" s="4" t="s">
        <v>51</v>
      </c>
      <c r="B16" s="5" t="s">
        <v>11</v>
      </c>
      <c r="C16" s="18">
        <f>C4</f>
        <v>1238.68</v>
      </c>
      <c r="D16" s="18">
        <v>779.83</v>
      </c>
      <c r="E16" s="43">
        <v>315.16000000000003</v>
      </c>
      <c r="F16" s="18">
        <f>C16+D16+E16</f>
        <v>2333.67</v>
      </c>
      <c r="G16" s="18">
        <f>G4</f>
        <v>764.37</v>
      </c>
      <c r="H16" s="18">
        <f>E16</f>
        <v>315.16000000000003</v>
      </c>
      <c r="I16" s="18">
        <f>I4</f>
        <v>29.43</v>
      </c>
      <c r="J16" s="6">
        <f>G16+D16</f>
        <v>1544.2</v>
      </c>
      <c r="K16" s="6">
        <f>((F16*12)+(J16*2)+(H16*2))</f>
        <v>31722.760000000002</v>
      </c>
      <c r="L16" s="18">
        <f>L4</f>
        <v>47.67</v>
      </c>
      <c r="M16" s="18">
        <v>113.74</v>
      </c>
    </row>
    <row r="17" spans="1:13" x14ac:dyDescent="0.25">
      <c r="A17" s="4" t="s">
        <v>14</v>
      </c>
      <c r="B17" s="5" t="s">
        <v>45</v>
      </c>
      <c r="C17" s="6">
        <f>C16*0.4332</f>
        <v>536.59617600000001</v>
      </c>
      <c r="D17" s="6">
        <f>D16*D25</f>
        <v>337.82235600000001</v>
      </c>
      <c r="E17" s="6">
        <f>E16*D25</f>
        <v>136.52731199999999</v>
      </c>
      <c r="F17" s="6">
        <f>C17+D17+H17</f>
        <v>1010.9458440000001</v>
      </c>
      <c r="G17" s="6">
        <f>G16*D25</f>
        <v>331.12508399999996</v>
      </c>
      <c r="H17" s="6">
        <f>H16*D25</f>
        <v>136.52731199999999</v>
      </c>
      <c r="I17" s="6">
        <f>I16*D25</f>
        <v>12.749075999999999</v>
      </c>
      <c r="J17" s="6">
        <f t="shared" ref="J17:J20" si="6">G17+D17</f>
        <v>668.94743999999992</v>
      </c>
      <c r="K17" s="6">
        <f t="shared" ref="K17:K20" si="7">((F17*12)+(J17*2)+(H17*2))</f>
        <v>13742.299632000002</v>
      </c>
      <c r="L17" s="6">
        <f>L16*D25</f>
        <v>20.650644</v>
      </c>
      <c r="M17" s="6"/>
    </row>
    <row r="18" spans="1:13" x14ac:dyDescent="0.25">
      <c r="A18" s="5"/>
      <c r="B18" s="5" t="s">
        <v>46</v>
      </c>
      <c r="C18" s="6">
        <f>C16*D26</f>
        <v>447.16347999999999</v>
      </c>
      <c r="D18" s="6">
        <f>D16*D26</f>
        <v>281.51863000000003</v>
      </c>
      <c r="E18" s="6">
        <f>E16*D26</f>
        <v>113.77276000000001</v>
      </c>
      <c r="F18" s="6">
        <f t="shared" ref="F18:F20" si="8">C18+D18+E18</f>
        <v>842.45487000000003</v>
      </c>
      <c r="G18" s="6">
        <f>G16*D26</f>
        <v>275.93756999999999</v>
      </c>
      <c r="H18" s="6">
        <f>H16*D26</f>
        <v>113.77276000000001</v>
      </c>
      <c r="I18" s="6">
        <f>I16*D26</f>
        <v>10.624229999999999</v>
      </c>
      <c r="J18" s="6">
        <f t="shared" si="6"/>
        <v>557.45620000000008</v>
      </c>
      <c r="K18" s="6">
        <f t="shared" si="7"/>
        <v>11451.916359999999</v>
      </c>
      <c r="L18" s="6">
        <f>L16*D26</f>
        <v>17.208870000000001</v>
      </c>
      <c r="M18" s="6"/>
    </row>
    <row r="19" spans="1:13" x14ac:dyDescent="0.25">
      <c r="A19" s="5"/>
      <c r="B19" s="5" t="s">
        <v>47</v>
      </c>
      <c r="C19" s="6">
        <f>C16*D27</f>
        <v>357.73078400000003</v>
      </c>
      <c r="D19" s="6">
        <f>D16*D27</f>
        <v>225.21490400000002</v>
      </c>
      <c r="E19" s="6">
        <f>E16*D27</f>
        <v>91.018208000000001</v>
      </c>
      <c r="F19" s="6">
        <f t="shared" si="8"/>
        <v>673.96389599999998</v>
      </c>
      <c r="G19" s="6">
        <f>G16*D27</f>
        <v>220.750056</v>
      </c>
      <c r="H19" s="6">
        <f>H16*D27</f>
        <v>91.018208000000001</v>
      </c>
      <c r="I19" s="6">
        <f>I16*D27</f>
        <v>8.4993839999999992</v>
      </c>
      <c r="J19" s="6">
        <f t="shared" si="6"/>
        <v>445.96496000000002</v>
      </c>
      <c r="K19" s="6">
        <f t="shared" si="7"/>
        <v>9161.5330880000001</v>
      </c>
      <c r="L19" s="6">
        <f>L16*D27</f>
        <v>13.767096</v>
      </c>
      <c r="M19" s="6"/>
    </row>
    <row r="20" spans="1:13" x14ac:dyDescent="0.25">
      <c r="A20" s="5"/>
      <c r="B20" s="5" t="s">
        <v>48</v>
      </c>
      <c r="C20" s="6">
        <f>C16*D28</f>
        <v>268.29808800000001</v>
      </c>
      <c r="D20" s="6">
        <f>D16*D28</f>
        <v>168.91117800000001</v>
      </c>
      <c r="E20" s="6">
        <f>E16*D28</f>
        <v>68.263655999999997</v>
      </c>
      <c r="F20" s="6">
        <f t="shared" si="8"/>
        <v>505.47292200000004</v>
      </c>
      <c r="G20" s="6">
        <f>G16*D28</f>
        <v>165.56254199999998</v>
      </c>
      <c r="H20" s="6">
        <f>H16*D28</f>
        <v>68.263655999999997</v>
      </c>
      <c r="I20" s="6">
        <f>I16*D28</f>
        <v>6.3745379999999994</v>
      </c>
      <c r="J20" s="6">
        <f t="shared" si="6"/>
        <v>334.47371999999996</v>
      </c>
      <c r="K20" s="6">
        <f t="shared" si="7"/>
        <v>6871.149816000001</v>
      </c>
      <c r="L20" s="6">
        <f>L16*D28</f>
        <v>10.325322</v>
      </c>
      <c r="M20" s="6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5" t="s">
        <v>54</v>
      </c>
      <c r="B22" s="55"/>
      <c r="C22" s="55"/>
      <c r="D22" s="55"/>
      <c r="E22" s="55"/>
      <c r="F22" s="55"/>
      <c r="G22" s="55"/>
      <c r="H22" s="55"/>
      <c r="I22" s="5"/>
      <c r="J22" s="5"/>
      <c r="K22" s="5"/>
      <c r="L22" s="5"/>
      <c r="M22" s="5"/>
    </row>
    <row r="23" spans="1:13" x14ac:dyDescent="0.25">
      <c r="A23" s="7"/>
      <c r="B23" s="8"/>
      <c r="C23" s="9" t="s">
        <v>15</v>
      </c>
      <c r="D23" s="9" t="s">
        <v>60</v>
      </c>
      <c r="E23" s="53" t="s">
        <v>16</v>
      </c>
      <c r="F23" s="54"/>
      <c r="G23" s="10" t="s">
        <v>55</v>
      </c>
      <c r="H23" s="10" t="s">
        <v>42</v>
      </c>
      <c r="K23" s="10" t="s">
        <v>55</v>
      </c>
      <c r="L23" s="10" t="s">
        <v>17</v>
      </c>
      <c r="M23" s="10" t="s">
        <v>18</v>
      </c>
    </row>
    <row r="24" spans="1:13" x14ac:dyDescent="0.25">
      <c r="A24" s="56" t="s">
        <v>19</v>
      </c>
      <c r="B24" s="7" t="s">
        <v>11</v>
      </c>
      <c r="C24" s="11">
        <v>984.47817185783992</v>
      </c>
      <c r="D24" s="11"/>
      <c r="E24" s="12" t="s">
        <v>11</v>
      </c>
      <c r="F24" s="14">
        <f>H24</f>
        <v>59.570126035125753</v>
      </c>
      <c r="G24" s="12" t="s">
        <v>2</v>
      </c>
      <c r="H24" s="14">
        <v>59.570126035125753</v>
      </c>
      <c r="K24" s="12" t="s">
        <v>2</v>
      </c>
      <c r="L24" s="11">
        <v>115.17</v>
      </c>
      <c r="M24" s="11">
        <v>50.42</v>
      </c>
    </row>
    <row r="25" spans="1:13" x14ac:dyDescent="0.25">
      <c r="A25" s="57"/>
      <c r="B25" s="5" t="s">
        <v>45</v>
      </c>
      <c r="C25" s="11">
        <f>C24*D25</f>
        <v>426.47594404881625</v>
      </c>
      <c r="D25" s="13">
        <v>0.43319999999999997</v>
      </c>
      <c r="E25" s="30" t="s">
        <v>45</v>
      </c>
      <c r="F25" s="14">
        <f>F24*0.4332</f>
        <v>25.805778598416474</v>
      </c>
      <c r="G25" s="12" t="s">
        <v>3</v>
      </c>
      <c r="H25" s="14">
        <v>45.446718098108242</v>
      </c>
      <c r="K25" s="12" t="s">
        <v>3</v>
      </c>
      <c r="L25" s="11">
        <v>90.64</v>
      </c>
      <c r="M25" s="11">
        <v>39.69</v>
      </c>
    </row>
    <row r="26" spans="1:13" x14ac:dyDescent="0.25">
      <c r="A26" s="57"/>
      <c r="B26" s="5" t="s">
        <v>46</v>
      </c>
      <c r="C26" s="11">
        <f>C24*D26</f>
        <v>355.3966200406802</v>
      </c>
      <c r="D26" s="13">
        <v>0.36099999999999999</v>
      </c>
      <c r="E26" s="30" t="s">
        <v>46</v>
      </c>
      <c r="F26" s="14">
        <f>F24*0.361</f>
        <v>21.504815498680397</v>
      </c>
      <c r="G26" s="14" t="s">
        <v>5</v>
      </c>
      <c r="H26" s="14">
        <v>36.458099558347492</v>
      </c>
      <c r="K26" s="12" t="s">
        <v>4</v>
      </c>
      <c r="L26" s="7">
        <v>79.37</v>
      </c>
      <c r="M26" s="7">
        <v>34.74</v>
      </c>
    </row>
    <row r="27" spans="1:13" x14ac:dyDescent="0.25">
      <c r="A27" s="57"/>
      <c r="B27" s="5" t="s">
        <v>47</v>
      </c>
      <c r="C27" s="11">
        <f>C24*D27</f>
        <v>284.31729603254416</v>
      </c>
      <c r="D27" s="13">
        <v>0.2888</v>
      </c>
      <c r="E27" s="30" t="s">
        <v>47</v>
      </c>
      <c r="F27" s="14">
        <f>F24*0.2888</f>
        <v>17.203852398944317</v>
      </c>
      <c r="G27" s="14" t="s">
        <v>6</v>
      </c>
      <c r="H27" s="14">
        <v>24.5462640269715</v>
      </c>
      <c r="K27" s="14" t="s">
        <v>5</v>
      </c>
      <c r="L27" s="11">
        <v>69.62</v>
      </c>
      <c r="M27" s="11">
        <v>30.48</v>
      </c>
    </row>
    <row r="28" spans="1:13" x14ac:dyDescent="0.25">
      <c r="A28" s="57"/>
      <c r="B28" s="5" t="s">
        <v>48</v>
      </c>
      <c r="C28" s="11">
        <f>C24*D28</f>
        <v>213.23797202440812</v>
      </c>
      <c r="D28" s="13">
        <v>0.21659999999999999</v>
      </c>
      <c r="E28" s="30" t="s">
        <v>48</v>
      </c>
      <c r="F28" s="14">
        <f>F24*0.2166</f>
        <v>12.902889299208237</v>
      </c>
      <c r="G28" s="14" t="s">
        <v>20</v>
      </c>
      <c r="H28" s="14">
        <v>18.261894913911</v>
      </c>
      <c r="K28" s="14" t="s">
        <v>6</v>
      </c>
      <c r="L28" s="11">
        <v>55.07</v>
      </c>
      <c r="M28" s="11">
        <v>24.11</v>
      </c>
    </row>
    <row r="29" spans="1:13" x14ac:dyDescent="0.25">
      <c r="A29" s="58"/>
      <c r="B29" s="7" t="s">
        <v>53</v>
      </c>
      <c r="C29" s="11">
        <f>C24*D29</f>
        <v>142.15864801627208</v>
      </c>
      <c r="D29" s="13">
        <v>0.1444</v>
      </c>
      <c r="E29" s="12" t="s">
        <v>53</v>
      </c>
      <c r="F29" s="14">
        <f>F24*0.1444</f>
        <v>8.6019261994721585</v>
      </c>
      <c r="K29" s="14" t="s">
        <v>20</v>
      </c>
      <c r="L29" s="11">
        <v>46.95</v>
      </c>
      <c r="M29" s="11">
        <v>20.56</v>
      </c>
    </row>
    <row r="32" spans="1:13" x14ac:dyDescent="0.25">
      <c r="D32" s="51" t="s">
        <v>10</v>
      </c>
      <c r="E32" s="51"/>
      <c r="F32" s="51"/>
      <c r="G32" s="51"/>
      <c r="I32" s="51" t="s">
        <v>59</v>
      </c>
      <c r="J32" s="51"/>
      <c r="M32" s="41"/>
    </row>
    <row r="33" spans="4:10" x14ac:dyDescent="0.25">
      <c r="D33" s="51" t="s">
        <v>56</v>
      </c>
      <c r="E33" s="51"/>
      <c r="F33" s="51" t="s">
        <v>57</v>
      </c>
      <c r="G33" s="51"/>
      <c r="I33" s="52">
        <v>1285.77</v>
      </c>
      <c r="J33" s="52"/>
    </row>
    <row r="34" spans="4:10" x14ac:dyDescent="0.25">
      <c r="D34" s="15" t="s">
        <v>55</v>
      </c>
      <c r="E34" s="15" t="s">
        <v>58</v>
      </c>
      <c r="F34" s="15" t="s">
        <v>55</v>
      </c>
      <c r="G34" s="15" t="s">
        <v>58</v>
      </c>
    </row>
    <row r="35" spans="4:10" x14ac:dyDescent="0.25">
      <c r="D35" s="12" t="s">
        <v>2</v>
      </c>
      <c r="E35" s="14">
        <v>47.67</v>
      </c>
      <c r="F35" s="12" t="s">
        <v>2</v>
      </c>
      <c r="G35" s="34">
        <v>29.43</v>
      </c>
    </row>
    <row r="36" spans="4:10" x14ac:dyDescent="0.25">
      <c r="D36" s="12" t="s">
        <v>3</v>
      </c>
      <c r="E36" s="14">
        <v>38.880000000000003</v>
      </c>
      <c r="F36" s="12" t="s">
        <v>3</v>
      </c>
      <c r="G36" s="34">
        <v>28.35</v>
      </c>
    </row>
    <row r="37" spans="4:10" x14ac:dyDescent="0.25">
      <c r="D37" s="12" t="s">
        <v>4</v>
      </c>
      <c r="E37" s="14">
        <v>34.11</v>
      </c>
      <c r="F37" s="12" t="s">
        <v>4</v>
      </c>
      <c r="G37" s="34">
        <v>29.5</v>
      </c>
    </row>
    <row r="38" spans="4:10" x14ac:dyDescent="0.25">
      <c r="D38" s="14" t="s">
        <v>5</v>
      </c>
      <c r="E38" s="14">
        <v>29.43</v>
      </c>
      <c r="F38" s="14" t="s">
        <v>5</v>
      </c>
      <c r="G38" s="34">
        <v>25.41</v>
      </c>
    </row>
    <row r="39" spans="4:10" x14ac:dyDescent="0.25">
      <c r="D39" s="14" t="s">
        <v>6</v>
      </c>
      <c r="E39" s="14">
        <v>20.03</v>
      </c>
      <c r="F39" s="14" t="s">
        <v>6</v>
      </c>
      <c r="G39" s="34">
        <v>19.829999999999998</v>
      </c>
    </row>
    <row r="40" spans="4:10" x14ac:dyDescent="0.25">
      <c r="D40" s="14" t="s">
        <v>20</v>
      </c>
      <c r="E40" s="14">
        <v>15.08</v>
      </c>
      <c r="F40" s="14" t="s">
        <v>20</v>
      </c>
      <c r="G40" s="34">
        <v>15.08</v>
      </c>
    </row>
    <row r="43" spans="4:10" x14ac:dyDescent="0.25">
      <c r="D43" s="27" t="s">
        <v>92</v>
      </c>
      <c r="E43" s="22"/>
    </row>
    <row r="45" spans="4:10" x14ac:dyDescent="0.25">
      <c r="D45" s="50" t="s">
        <v>93</v>
      </c>
      <c r="E45" s="50"/>
      <c r="F45" s="28" t="s">
        <v>94</v>
      </c>
      <c r="G45" s="28" t="s">
        <v>95</v>
      </c>
    </row>
    <row r="46" spans="4:10" x14ac:dyDescent="0.25">
      <c r="D46" s="49" t="s">
        <v>96</v>
      </c>
      <c r="E46" s="49"/>
      <c r="F46" s="33">
        <v>1591.2872406000001</v>
      </c>
      <c r="G46" s="33">
        <f>F46</f>
        <v>1591.2872406000001</v>
      </c>
    </row>
    <row r="47" spans="4:10" x14ac:dyDescent="0.25">
      <c r="D47" s="49" t="s">
        <v>97</v>
      </c>
      <c r="E47" s="49"/>
      <c r="F47" s="33">
        <v>719.38652820000004</v>
      </c>
      <c r="G47" s="33">
        <f t="shared" ref="G47:G53" si="9">F47</f>
        <v>719.38652820000004</v>
      </c>
    </row>
    <row r="48" spans="4:10" x14ac:dyDescent="0.25">
      <c r="D48" s="49" t="s">
        <v>98</v>
      </c>
      <c r="E48" s="49"/>
      <c r="F48" s="33">
        <v>560.90309999999999</v>
      </c>
      <c r="G48" s="33">
        <f t="shared" si="9"/>
        <v>560.90309999999999</v>
      </c>
    </row>
    <row r="49" spans="4:7" x14ac:dyDescent="0.25">
      <c r="D49" s="49" t="s">
        <v>99</v>
      </c>
      <c r="E49" s="49"/>
      <c r="F49" s="33">
        <v>302.68183800000003</v>
      </c>
      <c r="G49" s="33">
        <f t="shared" si="9"/>
        <v>302.68183800000003</v>
      </c>
    </row>
    <row r="50" spans="4:7" x14ac:dyDescent="0.25">
      <c r="D50" s="49" t="s">
        <v>100</v>
      </c>
      <c r="E50" s="49"/>
      <c r="F50" s="33">
        <v>405.86742479999998</v>
      </c>
      <c r="G50" s="33">
        <f t="shared" si="9"/>
        <v>405.86742479999998</v>
      </c>
    </row>
    <row r="51" spans="4:7" x14ac:dyDescent="0.25">
      <c r="D51" s="49" t="s">
        <v>1</v>
      </c>
      <c r="E51" s="49"/>
      <c r="F51" s="33">
        <v>218.18615999999997</v>
      </c>
      <c r="G51" s="33">
        <f t="shared" si="9"/>
        <v>218.18615999999997</v>
      </c>
    </row>
    <row r="52" spans="4:7" x14ac:dyDescent="0.25">
      <c r="D52" s="49" t="s">
        <v>101</v>
      </c>
      <c r="E52" s="49"/>
      <c r="F52" s="33">
        <v>405.86742479999998</v>
      </c>
      <c r="G52" s="33">
        <f t="shared" si="9"/>
        <v>405.86742479999998</v>
      </c>
    </row>
    <row r="53" spans="4:7" x14ac:dyDescent="0.25">
      <c r="D53" s="49" t="s">
        <v>102</v>
      </c>
      <c r="E53" s="49"/>
      <c r="F53" s="33">
        <v>157.83504479999999</v>
      </c>
      <c r="G53" s="33">
        <f t="shared" si="9"/>
        <v>157.83504479999999</v>
      </c>
    </row>
  </sheetData>
  <sheetProtection password="CAB1" sheet="1" objects="1" scenarios="1" formatCells="0" formatColumns="0"/>
  <mergeCells count="18">
    <mergeCell ref="F33:G33"/>
    <mergeCell ref="D32:G32"/>
    <mergeCell ref="A1:M1"/>
    <mergeCell ref="D50:E50"/>
    <mergeCell ref="D51:E51"/>
    <mergeCell ref="D52:E52"/>
    <mergeCell ref="D53:E53"/>
    <mergeCell ref="D45:E45"/>
    <mergeCell ref="D46:E46"/>
    <mergeCell ref="D47:E47"/>
    <mergeCell ref="D48:E48"/>
    <mergeCell ref="D49:E49"/>
    <mergeCell ref="I32:J32"/>
    <mergeCell ref="I33:J33"/>
    <mergeCell ref="E23:F23"/>
    <mergeCell ref="A22:H22"/>
    <mergeCell ref="A24:A29"/>
    <mergeCell ref="D33:E33"/>
  </mergeCells>
  <pageMargins left="0.31496062992125984" right="0.31496062992125984" top="0.55118110236220474" bottom="0.55118110236220474" header="0.31496062992125984" footer="0.31496062992125984"/>
  <pageSetup paperSize="8" scale="98" orientation="landscape" r:id="rId1"/>
  <headerFooter>
    <oddHeader>&amp;LRetribuciones Personal Docente Funcionario 2022</oddHeader>
    <oddFooter>&amp;LUniversidad de Granada&amp;R&amp;P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workbookViewId="0">
      <selection activeCell="A14" sqref="A14"/>
    </sheetView>
  </sheetViews>
  <sheetFormatPr baseColWidth="10" defaultRowHeight="15" x14ac:dyDescent="0.25"/>
  <cols>
    <col min="1" max="1" width="34.42578125" style="3" bestFit="1" customWidth="1"/>
    <col min="2" max="2" width="18.7109375" style="3" bestFit="1" customWidth="1"/>
    <col min="3" max="3" width="14.140625" style="3" customWidth="1"/>
    <col min="4" max="4" width="23" style="3" bestFit="1" customWidth="1"/>
    <col min="5" max="5" width="15.140625" style="3" customWidth="1"/>
    <col min="6" max="6" width="13.42578125" style="3" bestFit="1" customWidth="1"/>
    <col min="7" max="7" width="17.140625" style="3" customWidth="1"/>
    <col min="8" max="8" width="15" style="3" bestFit="1" customWidth="1"/>
    <col min="9" max="16384" width="11.42578125" style="3"/>
  </cols>
  <sheetData>
    <row r="1" spans="1:9" ht="21" x14ac:dyDescent="0.35">
      <c r="A1" s="46" t="s">
        <v>107</v>
      </c>
      <c r="B1" s="47"/>
      <c r="C1" s="47"/>
      <c r="D1" s="47"/>
      <c r="E1" s="47"/>
      <c r="F1" s="47"/>
      <c r="G1" s="47"/>
      <c r="H1" s="48"/>
    </row>
    <row r="3" spans="1:9" x14ac:dyDescent="0.25">
      <c r="A3" s="19"/>
      <c r="B3" s="19"/>
      <c r="C3" s="19"/>
      <c r="D3" s="19"/>
      <c r="E3" s="19"/>
      <c r="F3" s="19"/>
      <c r="G3" s="19"/>
      <c r="H3" s="19"/>
    </row>
    <row r="4" spans="1:9" ht="30" x14ac:dyDescent="0.25">
      <c r="A4" s="25" t="s">
        <v>68</v>
      </c>
      <c r="B4" s="25" t="s">
        <v>69</v>
      </c>
      <c r="C4" s="25" t="s">
        <v>70</v>
      </c>
      <c r="D4" s="26" t="s">
        <v>103</v>
      </c>
      <c r="E4" s="26" t="s">
        <v>71</v>
      </c>
      <c r="F4" s="25" t="s">
        <v>72</v>
      </c>
      <c r="G4" s="25" t="s">
        <v>73</v>
      </c>
      <c r="H4" s="26" t="s">
        <v>74</v>
      </c>
    </row>
    <row r="5" spans="1:9" x14ac:dyDescent="0.25">
      <c r="A5" s="23"/>
      <c r="B5" s="23"/>
      <c r="C5" s="23"/>
      <c r="D5" s="23"/>
      <c r="E5" s="23"/>
      <c r="F5" s="23"/>
      <c r="G5" s="23">
        <v>764.37</v>
      </c>
      <c r="H5" s="23"/>
      <c r="I5" s="24"/>
    </row>
    <row r="6" spans="1:9" x14ac:dyDescent="0.25">
      <c r="A6" s="15" t="s">
        <v>75</v>
      </c>
      <c r="B6" s="16" t="s">
        <v>61</v>
      </c>
      <c r="C6" s="20" t="str">
        <f>FIXED(C10*65%)</f>
        <v>805,14</v>
      </c>
      <c r="D6" s="21">
        <f>D10*65%</f>
        <v>909.56449999999995</v>
      </c>
      <c r="E6" s="20"/>
      <c r="F6" s="29">
        <f t="shared" ref="F6:F15" si="0">C6+D6+E6</f>
        <v>1714.7044999999998</v>
      </c>
      <c r="G6" s="21">
        <f>G5*65%+D6</f>
        <v>1406.405</v>
      </c>
      <c r="H6" s="16" t="s">
        <v>21</v>
      </c>
    </row>
    <row r="7" spans="1:9" x14ac:dyDescent="0.25">
      <c r="A7" s="15" t="s">
        <v>76</v>
      </c>
      <c r="B7" s="16" t="s">
        <v>61</v>
      </c>
      <c r="C7" s="20" t="str">
        <f>C6</f>
        <v>805,14</v>
      </c>
      <c r="D7" s="21">
        <f>D10*65%</f>
        <v>909.56449999999995</v>
      </c>
      <c r="E7" s="21">
        <f>F10*2%</f>
        <v>52.760200000000005</v>
      </c>
      <c r="F7" s="29">
        <f t="shared" si="0"/>
        <v>1767.4646999999998</v>
      </c>
      <c r="G7" s="21">
        <f>G5*65%+D7+E7</f>
        <v>1459.1651999999999</v>
      </c>
      <c r="H7" s="16" t="s">
        <v>22</v>
      </c>
    </row>
    <row r="8" spans="1:9" x14ac:dyDescent="0.25">
      <c r="A8" s="15" t="s">
        <v>77</v>
      </c>
      <c r="B8" s="16" t="s">
        <v>61</v>
      </c>
      <c r="C8" s="20" t="str">
        <f>C6</f>
        <v>805,14</v>
      </c>
      <c r="D8" s="21">
        <f>D10*65%</f>
        <v>909.56449999999995</v>
      </c>
      <c r="E8" s="21" t="str">
        <f>FIXED(F10*5%)</f>
        <v>131,90</v>
      </c>
      <c r="F8" s="29">
        <f t="shared" si="0"/>
        <v>1846.6044999999999</v>
      </c>
      <c r="G8" s="29">
        <f>G5*65%+D8+E8</f>
        <v>1538.3050000000001</v>
      </c>
      <c r="H8" s="16" t="s">
        <v>23</v>
      </c>
    </row>
    <row r="9" spans="1:9" x14ac:dyDescent="0.25">
      <c r="A9" s="15" t="s">
        <v>78</v>
      </c>
      <c r="B9" s="16" t="s">
        <v>61</v>
      </c>
      <c r="C9" s="29">
        <f>C10*90%</f>
        <v>1114.8120000000001</v>
      </c>
      <c r="D9" s="29">
        <f>D10*90%</f>
        <v>1259.3969999999999</v>
      </c>
      <c r="E9" s="20"/>
      <c r="F9" s="29">
        <f t="shared" si="0"/>
        <v>2374.2089999999998</v>
      </c>
      <c r="G9" s="29">
        <f>G5*90%+D9</f>
        <v>1947.33</v>
      </c>
      <c r="H9" s="16" t="s">
        <v>24</v>
      </c>
    </row>
    <row r="10" spans="1:9" x14ac:dyDescent="0.25">
      <c r="A10" s="15" t="s">
        <v>79</v>
      </c>
      <c r="B10" s="16" t="s">
        <v>61</v>
      </c>
      <c r="C10" s="35">
        <v>1238.68</v>
      </c>
      <c r="D10" s="35">
        <v>1399.33</v>
      </c>
      <c r="E10" s="38"/>
      <c r="F10" s="35">
        <f t="shared" si="0"/>
        <v>2638.01</v>
      </c>
      <c r="G10" s="35">
        <v>2163.6999999999998</v>
      </c>
      <c r="H10" s="16" t="s">
        <v>25</v>
      </c>
    </row>
    <row r="11" spans="1:9" x14ac:dyDescent="0.25">
      <c r="A11" s="15" t="s">
        <v>80</v>
      </c>
      <c r="B11" s="16" t="s">
        <v>61</v>
      </c>
      <c r="C11" s="20" t="str">
        <f>FIXED(C10*85%)</f>
        <v>1.052,88</v>
      </c>
      <c r="D11" s="21" t="str">
        <f>FIXED(D10*85%)</f>
        <v>1.189,43</v>
      </c>
      <c r="E11" s="20"/>
      <c r="F11" s="29">
        <f t="shared" si="0"/>
        <v>2242.3100000000004</v>
      </c>
      <c r="G11" s="29">
        <f>G5*85%+D11</f>
        <v>1839.1445000000001</v>
      </c>
      <c r="H11" s="16" t="s">
        <v>26</v>
      </c>
    </row>
    <row r="12" spans="1:9" x14ac:dyDescent="0.25">
      <c r="A12" s="15" t="s">
        <v>67</v>
      </c>
      <c r="B12" s="16" t="s">
        <v>61</v>
      </c>
      <c r="C12" s="20" t="str">
        <f>FIXED(C10*85%)</f>
        <v>1.052,88</v>
      </c>
      <c r="D12" s="21" t="str">
        <f>FIXED(D10*85%)</f>
        <v>1.189,43</v>
      </c>
      <c r="E12" s="21">
        <f>E7</f>
        <v>52.760200000000005</v>
      </c>
      <c r="F12" s="29">
        <f t="shared" si="0"/>
        <v>2295.0702000000006</v>
      </c>
      <c r="G12" s="29">
        <f>G5*85%+D12+E12</f>
        <v>1891.9047</v>
      </c>
      <c r="H12" s="16" t="s">
        <v>27</v>
      </c>
    </row>
    <row r="13" spans="1:9" x14ac:dyDescent="0.25">
      <c r="A13" s="15" t="s">
        <v>81</v>
      </c>
      <c r="B13" s="16" t="s">
        <v>61</v>
      </c>
      <c r="C13" s="20" t="str">
        <f>FIXED(C10*85%)</f>
        <v>1.052,88</v>
      </c>
      <c r="D13" s="21" t="str">
        <f>FIXED(D10*85%)</f>
        <v>1.189,43</v>
      </c>
      <c r="E13" s="21" t="str">
        <f>E8</f>
        <v>131,90</v>
      </c>
      <c r="F13" s="29">
        <f t="shared" si="0"/>
        <v>2374.2100000000005</v>
      </c>
      <c r="G13" s="29">
        <f>G5*85%+D13+E13</f>
        <v>1971.0445000000002</v>
      </c>
      <c r="H13" s="16" t="s">
        <v>28</v>
      </c>
    </row>
    <row r="14" spans="1:9" x14ac:dyDescent="0.25">
      <c r="A14" s="15" t="s">
        <v>82</v>
      </c>
      <c r="B14" s="16" t="s">
        <v>61</v>
      </c>
      <c r="C14" s="36">
        <v>990.88</v>
      </c>
      <c r="D14" s="36">
        <v>665.42</v>
      </c>
      <c r="E14" s="20"/>
      <c r="F14" s="29">
        <f t="shared" si="0"/>
        <v>1656.3</v>
      </c>
      <c r="G14" s="29">
        <f>C14+D14+E14</f>
        <v>1656.3</v>
      </c>
      <c r="H14" s="16"/>
    </row>
    <row r="15" spans="1:9" x14ac:dyDescent="0.25">
      <c r="A15" s="15" t="s">
        <v>83</v>
      </c>
      <c r="B15" s="16" t="s">
        <v>61</v>
      </c>
      <c r="C15" s="21">
        <f>C14</f>
        <v>990.88</v>
      </c>
      <c r="D15" s="35">
        <v>1026.24</v>
      </c>
      <c r="E15" s="20"/>
      <c r="F15" s="29">
        <f t="shared" si="0"/>
        <v>2017.12</v>
      </c>
      <c r="G15" s="29">
        <f>C15+D15+E15</f>
        <v>2017.12</v>
      </c>
      <c r="H15" s="16"/>
    </row>
    <row r="16" spans="1:9" x14ac:dyDescent="0.25">
      <c r="A16" s="15" t="s">
        <v>84</v>
      </c>
      <c r="B16" s="16" t="s">
        <v>61</v>
      </c>
      <c r="C16" s="20" t="str">
        <f>FIXED(C10*60%)</f>
        <v>743,21</v>
      </c>
      <c r="D16" s="21" t="str">
        <f>FIXED(D10*60%)</f>
        <v>839,60</v>
      </c>
      <c r="E16" s="20"/>
      <c r="F16" s="29">
        <f>C16+D16</f>
        <v>1582.81</v>
      </c>
      <c r="G16" s="21">
        <f>G5*60%+D16</f>
        <v>1298.222</v>
      </c>
      <c r="H16" s="16" t="s">
        <v>29</v>
      </c>
    </row>
    <row r="17" spans="1:8" x14ac:dyDescent="0.25">
      <c r="A17" s="62" t="s">
        <v>85</v>
      </c>
      <c r="B17" s="16" t="s">
        <v>62</v>
      </c>
      <c r="C17" s="20" t="str">
        <f>FIXED(C10*30%)</f>
        <v>371,60</v>
      </c>
      <c r="D17" s="21" t="str">
        <f>FIXED(D10*30%)</f>
        <v>419,80</v>
      </c>
      <c r="E17" s="20"/>
      <c r="F17" s="21">
        <f>C17+D17+E17</f>
        <v>791.40000000000009</v>
      </c>
      <c r="G17" s="21">
        <f>G5*30%+D17</f>
        <v>649.11099999999999</v>
      </c>
      <c r="H17" s="16" t="s">
        <v>30</v>
      </c>
    </row>
    <row r="18" spans="1:8" x14ac:dyDescent="0.25">
      <c r="A18" s="63"/>
      <c r="B18" s="16" t="s">
        <v>63</v>
      </c>
      <c r="C18" s="20" t="str">
        <f>FIXED(C10*25%)</f>
        <v>309,67</v>
      </c>
      <c r="D18" s="21" t="str">
        <f>FIXED(D10*25%)</f>
        <v>349,83</v>
      </c>
      <c r="E18" s="20"/>
      <c r="F18" s="21">
        <f>C18+D18+E18</f>
        <v>659.5</v>
      </c>
      <c r="G18" s="21">
        <f>G5*25%+D18</f>
        <v>540.92250000000001</v>
      </c>
      <c r="H18" s="16" t="s">
        <v>31</v>
      </c>
    </row>
    <row r="19" spans="1:8" x14ac:dyDescent="0.25">
      <c r="A19" s="63"/>
      <c r="B19" s="16" t="s">
        <v>64</v>
      </c>
      <c r="C19" s="20" t="str">
        <f>FIXED(C10*20%)</f>
        <v>247,74</v>
      </c>
      <c r="D19" s="21" t="str">
        <f>FIXED(D10*20%)</f>
        <v>279,87</v>
      </c>
      <c r="E19" s="20"/>
      <c r="F19" s="21">
        <f>C19+D19+E19</f>
        <v>527.61</v>
      </c>
      <c r="G19" s="21">
        <f>G5*20%+D19</f>
        <v>432.74400000000003</v>
      </c>
      <c r="H19" s="16" t="s">
        <v>32</v>
      </c>
    </row>
    <row r="20" spans="1:8" x14ac:dyDescent="0.25">
      <c r="A20" s="63"/>
      <c r="B20" s="16" t="s">
        <v>65</v>
      </c>
      <c r="C20" s="20" t="str">
        <f>FIXED(C10*15%)</f>
        <v>185,80</v>
      </c>
      <c r="D20" s="21" t="str">
        <f>FIXED(D10*15%)</f>
        <v>209,90</v>
      </c>
      <c r="E20" s="20"/>
      <c r="F20" s="21">
        <f>C20+D20+E20</f>
        <v>395.70000000000005</v>
      </c>
      <c r="G20" s="21">
        <f>G5*15%+D20</f>
        <v>324.55549999999999</v>
      </c>
      <c r="H20" s="16" t="s">
        <v>33</v>
      </c>
    </row>
    <row r="21" spans="1:8" x14ac:dyDescent="0.25">
      <c r="A21" s="64"/>
      <c r="B21" s="16" t="s">
        <v>66</v>
      </c>
      <c r="C21" s="20" t="str">
        <f>FIXED(C10*10%)</f>
        <v>123,87</v>
      </c>
      <c r="D21" s="21" t="str">
        <f>FIXED(D10*10%)</f>
        <v>139,93</v>
      </c>
      <c r="E21" s="20"/>
      <c r="F21" s="21">
        <f>C21+D21+E21</f>
        <v>263.8</v>
      </c>
      <c r="G21" s="21">
        <f>G5*10%+D21</f>
        <v>216.36700000000002</v>
      </c>
      <c r="H21" s="16" t="s">
        <v>34</v>
      </c>
    </row>
    <row r="22" spans="1:8" x14ac:dyDescent="0.25">
      <c r="A22" s="15" t="s">
        <v>86</v>
      </c>
      <c r="B22" s="16"/>
      <c r="C22" s="35">
        <v>297.86</v>
      </c>
      <c r="D22" s="20"/>
      <c r="E22" s="20"/>
      <c r="F22" s="20"/>
      <c r="G22" s="20"/>
      <c r="H22" s="16"/>
    </row>
    <row r="24" spans="1:8" x14ac:dyDescent="0.25">
      <c r="B24" s="60" t="s">
        <v>91</v>
      </c>
      <c r="C24" s="61"/>
      <c r="D24" s="24"/>
      <c r="F24" s="60" t="s">
        <v>88</v>
      </c>
      <c r="G24" s="65"/>
      <c r="H24" s="61"/>
    </row>
    <row r="26" spans="1:8" x14ac:dyDescent="0.25">
      <c r="B26" s="15" t="s">
        <v>0</v>
      </c>
      <c r="C26" s="44">
        <v>52.76</v>
      </c>
      <c r="F26" s="15" t="s">
        <v>69</v>
      </c>
      <c r="G26" s="15" t="s">
        <v>89</v>
      </c>
      <c r="H26" s="15" t="s">
        <v>90</v>
      </c>
    </row>
    <row r="27" spans="1:8" x14ac:dyDescent="0.25">
      <c r="B27" s="15" t="s">
        <v>87</v>
      </c>
      <c r="C27" s="37">
        <v>131.9</v>
      </c>
      <c r="D27" s="40"/>
      <c r="F27" s="16" t="s">
        <v>62</v>
      </c>
      <c r="G27" s="36">
        <v>14.3</v>
      </c>
      <c r="H27" s="36">
        <v>8.83</v>
      </c>
    </row>
    <row r="28" spans="1:8" x14ac:dyDescent="0.25">
      <c r="B28" s="24"/>
      <c r="C28" s="39"/>
      <c r="D28" s="40"/>
      <c r="F28" s="16" t="s">
        <v>63</v>
      </c>
      <c r="G28" s="36">
        <v>11.92</v>
      </c>
      <c r="H28" s="36">
        <v>7.35</v>
      </c>
    </row>
    <row r="29" spans="1:8" x14ac:dyDescent="0.25">
      <c r="B29" s="24"/>
      <c r="C29" s="39"/>
      <c r="D29" s="40"/>
      <c r="F29" s="16" t="s">
        <v>64</v>
      </c>
      <c r="G29" s="36">
        <v>9.5399999999999991</v>
      </c>
      <c r="H29" s="36">
        <v>5.89</v>
      </c>
    </row>
    <row r="30" spans="1:8" x14ac:dyDescent="0.25">
      <c r="B30" s="27" t="s">
        <v>92</v>
      </c>
      <c r="C30" s="22"/>
      <c r="F30" s="16" t="s">
        <v>65</v>
      </c>
      <c r="G30" s="36">
        <v>7.15</v>
      </c>
      <c r="H30" s="36">
        <v>4.42</v>
      </c>
    </row>
    <row r="31" spans="1:8" x14ac:dyDescent="0.25">
      <c r="F31" s="16" t="s">
        <v>66</v>
      </c>
      <c r="G31" s="36">
        <v>4.76</v>
      </c>
      <c r="H31" s="36">
        <v>2.95</v>
      </c>
    </row>
    <row r="32" spans="1:8" x14ac:dyDescent="0.25">
      <c r="B32" s="32" t="s">
        <v>93</v>
      </c>
      <c r="C32" s="32"/>
      <c r="D32" s="28" t="s">
        <v>94</v>
      </c>
    </row>
    <row r="33" spans="1:4" x14ac:dyDescent="0.25">
      <c r="B33" s="31" t="s">
        <v>96</v>
      </c>
      <c r="C33" s="31"/>
      <c r="D33" s="33">
        <v>1591.2872406000001</v>
      </c>
    </row>
    <row r="34" spans="1:4" ht="15" customHeight="1" x14ac:dyDescent="0.25">
      <c r="B34" s="31" t="s">
        <v>97</v>
      </c>
      <c r="C34" s="31"/>
      <c r="D34" s="33">
        <v>719.38652820000004</v>
      </c>
    </row>
    <row r="35" spans="1:4" x14ac:dyDescent="0.25">
      <c r="B35" s="31" t="s">
        <v>98</v>
      </c>
      <c r="C35" s="31"/>
      <c r="D35" s="33">
        <v>560.90309999999999</v>
      </c>
    </row>
    <row r="36" spans="1:4" x14ac:dyDescent="0.25">
      <c r="B36" s="31" t="s">
        <v>99</v>
      </c>
      <c r="C36" s="31"/>
      <c r="D36" s="33">
        <v>302.68183800000003</v>
      </c>
    </row>
    <row r="37" spans="1:4" x14ac:dyDescent="0.25">
      <c r="B37" s="49" t="s">
        <v>100</v>
      </c>
      <c r="C37" s="49"/>
      <c r="D37" s="33">
        <v>405.86742479999998</v>
      </c>
    </row>
    <row r="38" spans="1:4" x14ac:dyDescent="0.25">
      <c r="B38" s="49" t="s">
        <v>1</v>
      </c>
      <c r="C38" s="49"/>
      <c r="D38" s="33">
        <v>218.18615999999997</v>
      </c>
    </row>
    <row r="39" spans="1:4" x14ac:dyDescent="0.25">
      <c r="B39" s="49" t="s">
        <v>101</v>
      </c>
      <c r="C39" s="49"/>
      <c r="D39" s="33">
        <v>405.86742479999998</v>
      </c>
    </row>
    <row r="40" spans="1:4" x14ac:dyDescent="0.25">
      <c r="B40" s="49" t="s">
        <v>102</v>
      </c>
      <c r="C40" s="49"/>
      <c r="D40" s="33">
        <v>157.83504479999999</v>
      </c>
    </row>
    <row r="43" spans="1:4" ht="15" customHeight="1" x14ac:dyDescent="0.25">
      <c r="A43" s="59" t="s">
        <v>104</v>
      </c>
      <c r="B43" s="59"/>
      <c r="C43" s="59"/>
      <c r="D43" s="45">
        <v>120.96</v>
      </c>
    </row>
    <row r="44" spans="1:4" ht="15" customHeight="1" x14ac:dyDescent="0.25">
      <c r="A44" s="59" t="s">
        <v>105</v>
      </c>
      <c r="B44" s="59"/>
      <c r="C44" s="59"/>
      <c r="D44" s="45">
        <v>134.41</v>
      </c>
    </row>
  </sheetData>
  <sheetProtection password="CAB1" sheet="1" objects="1" scenarios="1" formatCells="0"/>
  <mergeCells count="10">
    <mergeCell ref="A44:C44"/>
    <mergeCell ref="A43:C43"/>
    <mergeCell ref="A1:H1"/>
    <mergeCell ref="B24:C24"/>
    <mergeCell ref="B39:C39"/>
    <mergeCell ref="B40:C40"/>
    <mergeCell ref="B37:C37"/>
    <mergeCell ref="B38:C38"/>
    <mergeCell ref="A17:A21"/>
    <mergeCell ref="F24:H2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&amp;LServicio de Habilitación</oddHeader>
    <oddFooter>&amp;LUniversidad de Granada&amp;R&amp;P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A77A-491B-4DCC-A3D7-5A2F1CCABF45}">
  <dimension ref="A1:M50"/>
  <sheetViews>
    <sheetView tabSelected="1" zoomScale="130" zoomScaleNormal="130" workbookViewId="0">
      <selection activeCell="F20" sqref="F20"/>
    </sheetView>
  </sheetViews>
  <sheetFormatPr baseColWidth="10" defaultColWidth="8" defaultRowHeight="12.75" x14ac:dyDescent="0.25"/>
  <cols>
    <col min="1" max="1" width="28.140625" style="67" customWidth="1"/>
    <col min="2" max="2" width="11.42578125" style="67" customWidth="1"/>
    <col min="3" max="3" width="6.85546875" style="67" customWidth="1"/>
    <col min="4" max="5" width="8" style="67" customWidth="1"/>
    <col min="6" max="6" width="9" style="67" customWidth="1"/>
    <col min="7" max="7" width="8" style="67" customWidth="1"/>
    <col min="8" max="9" width="6.85546875" style="67" customWidth="1"/>
    <col min="10" max="10" width="8" style="67" customWidth="1"/>
    <col min="11" max="11" width="6.85546875" style="67" customWidth="1"/>
    <col min="12" max="12" width="8" style="67" customWidth="1"/>
    <col min="13" max="13" width="9" style="67" customWidth="1"/>
    <col min="14" max="14" width="1" style="67" customWidth="1"/>
    <col min="15" max="15" width="13.85546875" style="67" customWidth="1"/>
    <col min="16" max="16" width="14.85546875" style="67" customWidth="1"/>
    <col min="17" max="17" width="1" style="67" customWidth="1"/>
    <col min="18" max="16384" width="8" style="67"/>
  </cols>
  <sheetData>
    <row r="1" spans="1:13" ht="29.25" customHeight="1" x14ac:dyDescent="0.25">
      <c r="A1" s="66" t="s">
        <v>108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8.25" customHeight="1" x14ac:dyDescent="0.25">
      <c r="A2" s="68"/>
      <c r="B2" s="69" t="s">
        <v>109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8.25" customHeight="1" x14ac:dyDescent="0.25">
      <c r="A3" s="68"/>
      <c r="B3" s="70" t="s">
        <v>8</v>
      </c>
      <c r="C3" s="71"/>
      <c r="D3" s="71"/>
      <c r="E3" s="72"/>
      <c r="F3" s="73" t="s">
        <v>110</v>
      </c>
      <c r="G3" s="74"/>
      <c r="H3" s="75"/>
      <c r="I3" s="76" t="s">
        <v>111</v>
      </c>
      <c r="J3" s="77"/>
      <c r="K3" s="78"/>
      <c r="L3" s="79" t="s">
        <v>112</v>
      </c>
      <c r="M3" s="80"/>
    </row>
    <row r="4" spans="1:13" ht="8.25" customHeight="1" x14ac:dyDescent="0.2">
      <c r="A4" s="68"/>
      <c r="B4" s="81"/>
      <c r="C4" s="82" t="s">
        <v>113</v>
      </c>
      <c r="D4" s="82" t="s">
        <v>114</v>
      </c>
      <c r="E4" s="82" t="s">
        <v>115</v>
      </c>
      <c r="F4" s="82" t="s">
        <v>116</v>
      </c>
      <c r="G4" s="82" t="s">
        <v>114</v>
      </c>
      <c r="H4" s="82" t="s">
        <v>115</v>
      </c>
      <c r="I4" s="82" t="s">
        <v>113</v>
      </c>
      <c r="J4" s="82" t="s">
        <v>114</v>
      </c>
      <c r="K4" s="82" t="s">
        <v>115</v>
      </c>
      <c r="L4" s="83" t="s">
        <v>114</v>
      </c>
      <c r="M4" s="82" t="s">
        <v>115</v>
      </c>
    </row>
    <row r="5" spans="1:13" ht="8.25" customHeight="1" x14ac:dyDescent="0.2">
      <c r="A5" s="84" t="s">
        <v>117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8.25" customHeight="1" x14ac:dyDescent="0.25">
      <c r="A6" s="87" t="s">
        <v>118</v>
      </c>
      <c r="B6" s="88" t="s">
        <v>119</v>
      </c>
      <c r="C6" s="89">
        <v>1238.68</v>
      </c>
      <c r="D6" s="90">
        <v>0</v>
      </c>
      <c r="E6" s="89">
        <v>1238.68</v>
      </c>
      <c r="F6" s="90">
        <v>970.49</v>
      </c>
      <c r="G6" s="90">
        <v>707.74</v>
      </c>
      <c r="H6" s="89">
        <v>1678.23</v>
      </c>
      <c r="I6" s="89">
        <v>1094.19</v>
      </c>
      <c r="J6" s="90">
        <v>0</v>
      </c>
      <c r="K6" s="89">
        <v>1094.19</v>
      </c>
      <c r="L6" s="89">
        <v>1511.35</v>
      </c>
      <c r="M6" s="89">
        <v>1511.35</v>
      </c>
    </row>
    <row r="7" spans="1:13" ht="8.25" customHeight="1" x14ac:dyDescent="0.25">
      <c r="A7" s="87"/>
      <c r="B7" s="91" t="s">
        <v>120</v>
      </c>
      <c r="C7" s="90">
        <v>536.6</v>
      </c>
      <c r="D7" s="90">
        <v>702.08</v>
      </c>
      <c r="E7" s="89">
        <v>1238.68</v>
      </c>
      <c r="F7" s="90">
        <v>894.42</v>
      </c>
      <c r="G7" s="90">
        <v>783.8</v>
      </c>
      <c r="H7" s="89">
        <v>1678.22</v>
      </c>
      <c r="I7" s="90">
        <v>0</v>
      </c>
      <c r="J7" s="90">
        <v>0</v>
      </c>
      <c r="K7" s="90">
        <v>0</v>
      </c>
      <c r="L7" s="89">
        <v>1511.35</v>
      </c>
      <c r="M7" s="89">
        <v>1511.35</v>
      </c>
    </row>
    <row r="8" spans="1:13" ht="8.25" customHeight="1" x14ac:dyDescent="0.25">
      <c r="A8" s="87" t="s">
        <v>121</v>
      </c>
      <c r="B8" s="88" t="s">
        <v>119</v>
      </c>
      <c r="C8" s="89">
        <v>1238.68</v>
      </c>
      <c r="D8" s="90">
        <v>0</v>
      </c>
      <c r="E8" s="89">
        <v>1238.68</v>
      </c>
      <c r="F8" s="90">
        <v>970.49</v>
      </c>
      <c r="G8" s="90">
        <v>557.88</v>
      </c>
      <c r="H8" s="89">
        <v>1528.37</v>
      </c>
      <c r="I8" s="89">
        <v>1094.19</v>
      </c>
      <c r="J8" s="90">
        <v>0</v>
      </c>
      <c r="K8" s="89">
        <v>1094.19</v>
      </c>
      <c r="L8" s="89">
        <v>1537.78</v>
      </c>
      <c r="M8" s="89">
        <v>1537.78</v>
      </c>
    </row>
    <row r="9" spans="1:13" ht="8.25" customHeight="1" x14ac:dyDescent="0.25">
      <c r="A9" s="87"/>
      <c r="B9" s="91" t="s">
        <v>120</v>
      </c>
      <c r="C9" s="90">
        <v>536.6</v>
      </c>
      <c r="D9" s="90">
        <v>702.08</v>
      </c>
      <c r="E9" s="89">
        <v>1238.68</v>
      </c>
      <c r="F9" s="90">
        <v>894.42</v>
      </c>
      <c r="G9" s="90">
        <v>633.94000000000005</v>
      </c>
      <c r="H9" s="89">
        <v>1528.36</v>
      </c>
      <c r="I9" s="90">
        <v>0</v>
      </c>
      <c r="J9" s="90">
        <v>0</v>
      </c>
      <c r="K9" s="90">
        <v>0</v>
      </c>
      <c r="L9" s="89">
        <v>1537.78</v>
      </c>
      <c r="M9" s="89">
        <v>1537.78</v>
      </c>
    </row>
    <row r="10" spans="1:13" ht="8.25" customHeight="1" x14ac:dyDescent="0.25">
      <c r="A10" s="87" t="s">
        <v>122</v>
      </c>
      <c r="B10" s="88" t="s">
        <v>119</v>
      </c>
      <c r="C10" s="89">
        <v>1238.68</v>
      </c>
      <c r="D10" s="90">
        <v>0</v>
      </c>
      <c r="E10" s="89">
        <v>1238.68</v>
      </c>
      <c r="F10" s="90">
        <v>970.49</v>
      </c>
      <c r="G10" s="90">
        <v>434.83</v>
      </c>
      <c r="H10" s="89">
        <v>1405.32</v>
      </c>
      <c r="I10" s="89">
        <v>1094.19</v>
      </c>
      <c r="J10" s="90">
        <v>0</v>
      </c>
      <c r="K10" s="89">
        <v>1094.19</v>
      </c>
      <c r="L10" s="89">
        <v>1130.6300000000001</v>
      </c>
      <c r="M10" s="89">
        <v>1130.6300000000001</v>
      </c>
    </row>
    <row r="11" spans="1:13" ht="8.25" customHeight="1" x14ac:dyDescent="0.25">
      <c r="A11" s="87"/>
      <c r="B11" s="91" t="s">
        <v>120</v>
      </c>
      <c r="C11" s="90">
        <v>536.6</v>
      </c>
      <c r="D11" s="90">
        <v>702.08</v>
      </c>
      <c r="E11" s="89">
        <v>1238.68</v>
      </c>
      <c r="F11" s="90">
        <v>894.42</v>
      </c>
      <c r="G11" s="90">
        <v>510.9</v>
      </c>
      <c r="H11" s="89">
        <v>1405.32</v>
      </c>
      <c r="I11" s="90">
        <v>0</v>
      </c>
      <c r="J11" s="90">
        <v>0</v>
      </c>
      <c r="K11" s="90">
        <v>0</v>
      </c>
      <c r="L11" s="89">
        <v>1130.6300000000001</v>
      </c>
      <c r="M11" s="89">
        <v>1130.6300000000001</v>
      </c>
    </row>
    <row r="12" spans="1:13" ht="8.25" customHeight="1" x14ac:dyDescent="0.25">
      <c r="A12" s="87" t="s">
        <v>123</v>
      </c>
      <c r="B12" s="88" t="s">
        <v>119</v>
      </c>
      <c r="C12" s="89">
        <v>1238.68</v>
      </c>
      <c r="D12" s="90">
        <v>0</v>
      </c>
      <c r="E12" s="89">
        <v>1238.68</v>
      </c>
      <c r="F12" s="90">
        <v>970.49</v>
      </c>
      <c r="G12" s="90">
        <v>349.28</v>
      </c>
      <c r="H12" s="89">
        <v>1319.77</v>
      </c>
      <c r="I12" s="89">
        <v>1094.19</v>
      </c>
      <c r="J12" s="90">
        <v>0</v>
      </c>
      <c r="K12" s="89">
        <v>1094.19</v>
      </c>
      <c r="L12" s="90">
        <v>831.42</v>
      </c>
      <c r="M12" s="90">
        <v>831.42</v>
      </c>
    </row>
    <row r="13" spans="1:13" ht="8.25" customHeight="1" x14ac:dyDescent="0.25">
      <c r="A13" s="87"/>
      <c r="B13" s="91" t="s">
        <v>120</v>
      </c>
      <c r="C13" s="90">
        <v>536.6</v>
      </c>
      <c r="D13" s="90">
        <v>702.08</v>
      </c>
      <c r="E13" s="89">
        <v>1238.68</v>
      </c>
      <c r="F13" s="90">
        <v>894.42</v>
      </c>
      <c r="G13" s="90">
        <v>425.35</v>
      </c>
      <c r="H13" s="89">
        <v>1319.77</v>
      </c>
      <c r="I13" s="90">
        <v>0</v>
      </c>
      <c r="J13" s="90">
        <v>0</v>
      </c>
      <c r="K13" s="90">
        <v>0</v>
      </c>
      <c r="L13" s="90">
        <v>831.42</v>
      </c>
      <c r="M13" s="90">
        <v>831.42</v>
      </c>
    </row>
    <row r="14" spans="1:13" ht="8.25" customHeight="1" x14ac:dyDescent="0.2">
      <c r="A14" s="84" t="s">
        <v>124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8.25" customHeight="1" x14ac:dyDescent="0.25">
      <c r="A15" s="87" t="s">
        <v>118</v>
      </c>
      <c r="B15" s="88" t="s">
        <v>119</v>
      </c>
      <c r="C15" s="89">
        <v>1238.68</v>
      </c>
      <c r="D15" s="90">
        <v>0</v>
      </c>
      <c r="E15" s="89">
        <v>1238.68</v>
      </c>
      <c r="F15" s="90">
        <v>888.86</v>
      </c>
      <c r="G15" s="90">
        <v>621.73</v>
      </c>
      <c r="H15" s="89">
        <v>1510.59</v>
      </c>
      <c r="I15" s="90">
        <v>510.47</v>
      </c>
      <c r="J15" s="90">
        <v>560.78</v>
      </c>
      <c r="K15" s="89">
        <v>1071.24</v>
      </c>
      <c r="L15" s="89">
        <v>1511.35</v>
      </c>
      <c r="M15" s="89">
        <v>1511.35</v>
      </c>
    </row>
    <row r="16" spans="1:13" ht="8.25" customHeight="1" x14ac:dyDescent="0.25">
      <c r="A16" s="87"/>
      <c r="B16" s="91" t="s">
        <v>120</v>
      </c>
      <c r="C16" s="90">
        <v>536.6</v>
      </c>
      <c r="D16" s="90">
        <v>702.08</v>
      </c>
      <c r="E16" s="89">
        <v>1238.68</v>
      </c>
      <c r="F16" s="90">
        <v>606.19000000000005</v>
      </c>
      <c r="G16" s="90">
        <v>904.4</v>
      </c>
      <c r="H16" s="89">
        <v>1510.59</v>
      </c>
      <c r="I16" s="90">
        <v>0</v>
      </c>
      <c r="J16" s="90">
        <v>0</v>
      </c>
      <c r="K16" s="90">
        <v>0</v>
      </c>
      <c r="L16" s="89">
        <v>1511.35</v>
      </c>
      <c r="M16" s="89">
        <v>1511.35</v>
      </c>
    </row>
    <row r="17" spans="1:13" ht="8.25" customHeight="1" x14ac:dyDescent="0.25">
      <c r="A17" s="87" t="s">
        <v>121</v>
      </c>
      <c r="B17" s="88" t="s">
        <v>119</v>
      </c>
      <c r="C17" s="89">
        <v>1238.68</v>
      </c>
      <c r="D17" s="90">
        <v>0</v>
      </c>
      <c r="E17" s="89">
        <v>1238.68</v>
      </c>
      <c r="F17" s="90">
        <v>888.86</v>
      </c>
      <c r="G17" s="90">
        <v>471.85</v>
      </c>
      <c r="H17" s="89">
        <v>1360.71</v>
      </c>
      <c r="I17" s="90">
        <v>510.47</v>
      </c>
      <c r="J17" s="90">
        <v>560.78</v>
      </c>
      <c r="K17" s="89">
        <v>1071.24</v>
      </c>
      <c r="L17" s="89">
        <v>1537.78</v>
      </c>
      <c r="M17" s="89">
        <v>1537.78</v>
      </c>
    </row>
    <row r="18" spans="1:13" ht="8.25" customHeight="1" x14ac:dyDescent="0.25">
      <c r="A18" s="87"/>
      <c r="B18" s="91" t="s">
        <v>120</v>
      </c>
      <c r="C18" s="90">
        <v>536.6</v>
      </c>
      <c r="D18" s="90">
        <v>702.08</v>
      </c>
      <c r="E18" s="89">
        <v>1238.68</v>
      </c>
      <c r="F18" s="90">
        <v>606.19000000000005</v>
      </c>
      <c r="G18" s="90">
        <v>754.53</v>
      </c>
      <c r="H18" s="89">
        <v>1360.72</v>
      </c>
      <c r="I18" s="90">
        <v>0</v>
      </c>
      <c r="J18" s="90">
        <v>0</v>
      </c>
      <c r="K18" s="90">
        <v>0</v>
      </c>
      <c r="L18" s="89">
        <v>1537.78</v>
      </c>
      <c r="M18" s="89">
        <v>1537.78</v>
      </c>
    </row>
    <row r="19" spans="1:13" ht="8.25" customHeight="1" x14ac:dyDescent="0.25">
      <c r="A19" s="87" t="s">
        <v>125</v>
      </c>
      <c r="B19" s="88" t="s">
        <v>119</v>
      </c>
      <c r="C19" s="89">
        <v>1238.68</v>
      </c>
      <c r="D19" s="90">
        <v>0</v>
      </c>
      <c r="E19" s="89">
        <v>1238.68</v>
      </c>
      <c r="F19" s="90">
        <v>888.86</v>
      </c>
      <c r="G19" s="90">
        <v>348.84</v>
      </c>
      <c r="H19" s="89">
        <v>1237.7</v>
      </c>
      <c r="I19" s="90">
        <v>510.47</v>
      </c>
      <c r="J19" s="90">
        <v>459.26</v>
      </c>
      <c r="K19" s="90">
        <v>969.72</v>
      </c>
      <c r="L19" s="89">
        <v>1130.6300000000001</v>
      </c>
      <c r="M19" s="89">
        <v>1130.6300000000001</v>
      </c>
    </row>
    <row r="20" spans="1:13" ht="8.25" customHeight="1" x14ac:dyDescent="0.25">
      <c r="A20" s="87"/>
      <c r="B20" s="91" t="s">
        <v>120</v>
      </c>
      <c r="C20" s="90">
        <v>536.6</v>
      </c>
      <c r="D20" s="90">
        <v>702.08</v>
      </c>
      <c r="E20" s="89">
        <v>1238.68</v>
      </c>
      <c r="F20" s="90">
        <v>606.19000000000005</v>
      </c>
      <c r="G20" s="90">
        <v>631.51</v>
      </c>
      <c r="H20" s="89">
        <v>1237.7</v>
      </c>
      <c r="I20" s="90">
        <v>0</v>
      </c>
      <c r="J20" s="90">
        <v>0</v>
      </c>
      <c r="K20" s="90">
        <v>0</v>
      </c>
      <c r="L20" s="89">
        <v>1130.6300000000001</v>
      </c>
      <c r="M20" s="89">
        <v>1130.6300000000001</v>
      </c>
    </row>
    <row r="21" spans="1:13" ht="8.25" customHeight="1" x14ac:dyDescent="0.25">
      <c r="A21" s="87" t="s">
        <v>123</v>
      </c>
      <c r="B21" s="88" t="s">
        <v>119</v>
      </c>
      <c r="C21" s="89">
        <v>1238.68</v>
      </c>
      <c r="D21" s="90">
        <v>0</v>
      </c>
      <c r="E21" s="89">
        <v>1238.68</v>
      </c>
      <c r="F21" s="90">
        <v>888.86</v>
      </c>
      <c r="G21" s="90">
        <v>263.3</v>
      </c>
      <c r="H21" s="89">
        <v>1152.1600000000001</v>
      </c>
      <c r="I21" s="90">
        <v>510.47</v>
      </c>
      <c r="J21" s="90">
        <v>367.36</v>
      </c>
      <c r="K21" s="90">
        <v>877.83</v>
      </c>
      <c r="L21" s="90">
        <v>831.42</v>
      </c>
      <c r="M21" s="90">
        <v>831.42</v>
      </c>
    </row>
    <row r="22" spans="1:13" ht="8.25" customHeight="1" x14ac:dyDescent="0.25">
      <c r="A22" s="87"/>
      <c r="B22" s="91" t="s">
        <v>120</v>
      </c>
      <c r="C22" s="90">
        <v>536.6</v>
      </c>
      <c r="D22" s="90">
        <v>702.08</v>
      </c>
      <c r="E22" s="89">
        <v>1238.68</v>
      </c>
      <c r="F22" s="90">
        <v>606.19000000000005</v>
      </c>
      <c r="G22" s="90">
        <v>545.97</v>
      </c>
      <c r="H22" s="89">
        <v>1152.1600000000001</v>
      </c>
      <c r="I22" s="90">
        <v>0</v>
      </c>
      <c r="J22" s="90">
        <v>0</v>
      </c>
      <c r="K22" s="90">
        <v>0</v>
      </c>
      <c r="L22" s="90">
        <v>831.42</v>
      </c>
      <c r="M22" s="90">
        <v>831.42</v>
      </c>
    </row>
    <row r="23" spans="1:13" ht="8.25" customHeight="1" x14ac:dyDescent="0.25">
      <c r="A23" s="87" t="s">
        <v>126</v>
      </c>
      <c r="B23" s="88" t="s">
        <v>119</v>
      </c>
      <c r="C23" s="89">
        <v>1238.68</v>
      </c>
      <c r="D23" s="90">
        <v>0</v>
      </c>
      <c r="E23" s="89">
        <v>1238.68</v>
      </c>
      <c r="F23" s="90">
        <v>888.86</v>
      </c>
      <c r="G23" s="90">
        <v>100.39</v>
      </c>
      <c r="H23" s="90">
        <v>989.25</v>
      </c>
      <c r="I23" s="90">
        <v>510.47</v>
      </c>
      <c r="J23" s="90">
        <v>156.02000000000001</v>
      </c>
      <c r="K23" s="90">
        <v>666.49</v>
      </c>
      <c r="L23" s="90">
        <v>529.61</v>
      </c>
      <c r="M23" s="90">
        <v>529.61</v>
      </c>
    </row>
    <row r="24" spans="1:13" ht="8.25" customHeight="1" x14ac:dyDescent="0.25">
      <c r="A24" s="87"/>
      <c r="B24" s="91" t="s">
        <v>120</v>
      </c>
      <c r="C24" s="90">
        <v>536.6</v>
      </c>
      <c r="D24" s="90">
        <v>702.08</v>
      </c>
      <c r="E24" s="89">
        <v>1238.68</v>
      </c>
      <c r="F24" s="90">
        <v>606.19000000000005</v>
      </c>
      <c r="G24" s="90">
        <v>405.86</v>
      </c>
      <c r="H24" s="89">
        <v>1012.05</v>
      </c>
      <c r="I24" s="90">
        <v>0</v>
      </c>
      <c r="J24" s="90">
        <v>0</v>
      </c>
      <c r="K24" s="90">
        <v>0</v>
      </c>
      <c r="L24" s="90">
        <v>529.61</v>
      </c>
      <c r="M24" s="90">
        <v>529.61</v>
      </c>
    </row>
    <row r="25" spans="1:13" ht="8.25" customHeight="1" x14ac:dyDescent="0.25">
      <c r="A25" s="87" t="s">
        <v>127</v>
      </c>
      <c r="B25" s="88" t="s">
        <v>119</v>
      </c>
      <c r="C25" s="89">
        <v>1238.68</v>
      </c>
      <c r="D25" s="90">
        <v>0</v>
      </c>
      <c r="E25" s="89">
        <v>1238.68</v>
      </c>
      <c r="F25" s="90">
        <v>888.86</v>
      </c>
      <c r="G25" s="90">
        <v>0</v>
      </c>
      <c r="H25" s="90">
        <v>888.86</v>
      </c>
      <c r="I25" s="90">
        <v>510.47</v>
      </c>
      <c r="J25" s="90">
        <v>34.35</v>
      </c>
      <c r="K25" s="90">
        <v>544.82000000000005</v>
      </c>
      <c r="L25" s="90">
        <v>494.98</v>
      </c>
      <c r="M25" s="90">
        <v>494.98</v>
      </c>
    </row>
    <row r="26" spans="1:13" ht="8.25" customHeight="1" x14ac:dyDescent="0.25">
      <c r="A26" s="92"/>
      <c r="B26" s="91" t="s">
        <v>120</v>
      </c>
      <c r="C26" s="90">
        <v>536.6</v>
      </c>
      <c r="D26" s="90">
        <v>702.08</v>
      </c>
      <c r="E26" s="89">
        <v>1238.68</v>
      </c>
      <c r="F26" s="90">
        <v>606.19000000000005</v>
      </c>
      <c r="G26" s="90">
        <v>305.44</v>
      </c>
      <c r="H26" s="90">
        <v>911.63</v>
      </c>
      <c r="I26" s="90">
        <v>0</v>
      </c>
      <c r="J26" s="90">
        <v>0</v>
      </c>
      <c r="K26" s="90">
        <v>0</v>
      </c>
      <c r="L26" s="90">
        <v>494.98</v>
      </c>
      <c r="M26" s="90">
        <v>494.98</v>
      </c>
    </row>
    <row r="27" spans="1:13" ht="8.25" customHeight="1" x14ac:dyDescent="0.2">
      <c r="A27" s="84" t="s">
        <v>128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8.25" customHeight="1" x14ac:dyDescent="0.25">
      <c r="A28" s="87" t="s">
        <v>118</v>
      </c>
      <c r="B28" s="88" t="s">
        <v>119</v>
      </c>
      <c r="C28" s="89">
        <v>1238.68</v>
      </c>
      <c r="D28" s="90">
        <v>0</v>
      </c>
      <c r="E28" s="89">
        <v>1238.68</v>
      </c>
      <c r="F28" s="90">
        <v>779.83</v>
      </c>
      <c r="G28" s="90">
        <v>611.08000000000004</v>
      </c>
      <c r="H28" s="89">
        <v>1390.91</v>
      </c>
      <c r="I28" s="90">
        <v>315.16000000000003</v>
      </c>
      <c r="J28" s="90">
        <v>756.12</v>
      </c>
      <c r="K28" s="89">
        <v>1071.28</v>
      </c>
      <c r="L28" s="89">
        <v>1511.35</v>
      </c>
      <c r="M28" s="89">
        <v>1511.35</v>
      </c>
    </row>
    <row r="29" spans="1:13" ht="8.25" customHeight="1" x14ac:dyDescent="0.25">
      <c r="A29" s="87"/>
      <c r="B29" s="91" t="s">
        <v>120</v>
      </c>
      <c r="C29" s="90">
        <v>536.6</v>
      </c>
      <c r="D29" s="90">
        <v>702.08</v>
      </c>
      <c r="E29" s="89">
        <v>1238.68</v>
      </c>
      <c r="F29" s="90">
        <v>474.35</v>
      </c>
      <c r="G29" s="90">
        <v>916.57</v>
      </c>
      <c r="H29" s="89">
        <v>1390.92</v>
      </c>
      <c r="I29" s="90">
        <v>0</v>
      </c>
      <c r="J29" s="90">
        <v>0</v>
      </c>
      <c r="K29" s="90">
        <v>0</v>
      </c>
      <c r="L29" s="89">
        <v>1511.35</v>
      </c>
      <c r="M29" s="89">
        <v>1511.35</v>
      </c>
    </row>
    <row r="30" spans="1:13" ht="8.25" customHeight="1" x14ac:dyDescent="0.25">
      <c r="A30" s="87" t="s">
        <v>121</v>
      </c>
      <c r="B30" s="88" t="s">
        <v>119</v>
      </c>
      <c r="C30" s="89">
        <v>1238.68</v>
      </c>
      <c r="D30" s="90">
        <v>0</v>
      </c>
      <c r="E30" s="89">
        <v>1238.68</v>
      </c>
      <c r="F30" s="90">
        <v>779.83</v>
      </c>
      <c r="G30" s="90">
        <v>461.18</v>
      </c>
      <c r="H30" s="89">
        <v>1241.01</v>
      </c>
      <c r="I30" s="90">
        <v>315.16000000000003</v>
      </c>
      <c r="J30" s="90">
        <v>756.12</v>
      </c>
      <c r="K30" s="89">
        <v>1071.28</v>
      </c>
      <c r="L30" s="89">
        <v>1537.78</v>
      </c>
      <c r="M30" s="89">
        <v>1537.78</v>
      </c>
    </row>
    <row r="31" spans="1:13" ht="8.25" customHeight="1" x14ac:dyDescent="0.25">
      <c r="A31" s="87"/>
      <c r="B31" s="91" t="s">
        <v>120</v>
      </c>
      <c r="C31" s="90">
        <v>536.6</v>
      </c>
      <c r="D31" s="90">
        <v>702.08</v>
      </c>
      <c r="E31" s="89">
        <v>1238.68</v>
      </c>
      <c r="F31" s="90">
        <v>474.35</v>
      </c>
      <c r="G31" s="90">
        <v>766.66</v>
      </c>
      <c r="H31" s="89">
        <v>1241.01</v>
      </c>
      <c r="I31" s="90">
        <v>0</v>
      </c>
      <c r="J31" s="90">
        <v>0</v>
      </c>
      <c r="K31" s="90">
        <v>0</v>
      </c>
      <c r="L31" s="89">
        <v>1537.78</v>
      </c>
      <c r="M31" s="89">
        <v>1537.78</v>
      </c>
    </row>
    <row r="32" spans="1:13" ht="8.25" customHeight="1" x14ac:dyDescent="0.25">
      <c r="A32" s="87" t="s">
        <v>122</v>
      </c>
      <c r="B32" s="88" t="s">
        <v>119</v>
      </c>
      <c r="C32" s="89">
        <v>1238.68</v>
      </c>
      <c r="D32" s="90">
        <v>0</v>
      </c>
      <c r="E32" s="89">
        <v>1238.68</v>
      </c>
      <c r="F32" s="90">
        <v>779.83</v>
      </c>
      <c r="G32" s="90">
        <v>338.19</v>
      </c>
      <c r="H32" s="89">
        <v>1118.02</v>
      </c>
      <c r="I32" s="90">
        <v>315.16000000000003</v>
      </c>
      <c r="J32" s="90">
        <v>654.55999999999995</v>
      </c>
      <c r="K32" s="90">
        <v>969.72</v>
      </c>
      <c r="L32" s="89">
        <v>1130.6300000000001</v>
      </c>
      <c r="M32" s="89">
        <v>1130.6300000000001</v>
      </c>
    </row>
    <row r="33" spans="1:13" ht="8.25" customHeight="1" x14ac:dyDescent="0.25">
      <c r="A33" s="87"/>
      <c r="B33" s="91" t="s">
        <v>120</v>
      </c>
      <c r="C33" s="90">
        <v>536.6</v>
      </c>
      <c r="D33" s="90">
        <v>702.08</v>
      </c>
      <c r="E33" s="89">
        <v>1238.68</v>
      </c>
      <c r="F33" s="90">
        <v>474.35</v>
      </c>
      <c r="G33" s="90">
        <v>643.66999999999996</v>
      </c>
      <c r="H33" s="89">
        <v>1118.02</v>
      </c>
      <c r="I33" s="90">
        <v>0</v>
      </c>
      <c r="J33" s="90">
        <v>0</v>
      </c>
      <c r="K33" s="90">
        <v>0</v>
      </c>
      <c r="L33" s="89">
        <v>1130.6300000000001</v>
      </c>
      <c r="M33" s="89">
        <v>1130.6300000000001</v>
      </c>
    </row>
    <row r="34" spans="1:13" ht="8.25" customHeight="1" x14ac:dyDescent="0.25">
      <c r="A34" s="87" t="s">
        <v>123</v>
      </c>
      <c r="B34" s="88" t="s">
        <v>119</v>
      </c>
      <c r="C34" s="89">
        <v>1238.68</v>
      </c>
      <c r="D34" s="90">
        <v>0</v>
      </c>
      <c r="E34" s="89">
        <v>1238.68</v>
      </c>
      <c r="F34" s="90">
        <v>779.83</v>
      </c>
      <c r="G34" s="90">
        <v>252.62</v>
      </c>
      <c r="H34" s="89">
        <v>1032.45</v>
      </c>
      <c r="I34" s="90">
        <v>315.16000000000003</v>
      </c>
      <c r="J34" s="90">
        <v>562.69000000000005</v>
      </c>
      <c r="K34" s="90">
        <v>877.85</v>
      </c>
      <c r="L34" s="90">
        <v>831.42</v>
      </c>
      <c r="M34" s="90">
        <v>831.42</v>
      </c>
    </row>
    <row r="35" spans="1:13" ht="8.25" customHeight="1" x14ac:dyDescent="0.25">
      <c r="A35" s="93"/>
      <c r="B35" s="91" t="s">
        <v>120</v>
      </c>
      <c r="C35" s="90">
        <v>536.6</v>
      </c>
      <c r="D35" s="90">
        <v>702.08</v>
      </c>
      <c r="E35" s="89">
        <v>1238.68</v>
      </c>
      <c r="F35" s="90">
        <v>474.35</v>
      </c>
      <c r="G35" s="90">
        <v>558.1</v>
      </c>
      <c r="H35" s="89">
        <v>1032.45</v>
      </c>
      <c r="I35" s="90">
        <v>0</v>
      </c>
      <c r="J35" s="90">
        <v>0</v>
      </c>
      <c r="K35" s="90">
        <v>0</v>
      </c>
      <c r="L35" s="90">
        <v>831.42</v>
      </c>
      <c r="M35" s="90">
        <v>831.42</v>
      </c>
    </row>
    <row r="36" spans="1:13" ht="8.25" customHeight="1" x14ac:dyDescent="0.2">
      <c r="A36" s="84" t="s">
        <v>129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ht="8.25" customHeight="1" x14ac:dyDescent="0.25">
      <c r="A37" s="87" t="s">
        <v>126</v>
      </c>
      <c r="B37" s="88" t="s">
        <v>119</v>
      </c>
      <c r="C37" s="89">
        <v>1238.68</v>
      </c>
      <c r="D37" s="90">
        <v>0</v>
      </c>
      <c r="E37" s="89">
        <v>1238.68</v>
      </c>
      <c r="F37" s="90">
        <v>779.83</v>
      </c>
      <c r="G37" s="90">
        <v>100.39</v>
      </c>
      <c r="H37" s="90">
        <v>880.22</v>
      </c>
      <c r="I37" s="90">
        <v>315.16000000000003</v>
      </c>
      <c r="J37" s="90">
        <v>156.02000000000001</v>
      </c>
      <c r="K37" s="90">
        <v>471.18</v>
      </c>
      <c r="L37" s="90">
        <v>529.61</v>
      </c>
      <c r="M37" s="90">
        <v>529.61</v>
      </c>
    </row>
    <row r="38" spans="1:13" ht="8.25" customHeight="1" x14ac:dyDescent="0.25">
      <c r="A38" s="87"/>
      <c r="B38" s="91" t="s">
        <v>120</v>
      </c>
      <c r="C38" s="90">
        <v>536.6</v>
      </c>
      <c r="D38" s="90">
        <v>702.08</v>
      </c>
      <c r="E38" s="89">
        <v>1238.68</v>
      </c>
      <c r="F38" s="90">
        <v>474.35</v>
      </c>
      <c r="G38" s="90">
        <v>405.88</v>
      </c>
      <c r="H38" s="90">
        <v>880.23</v>
      </c>
      <c r="I38" s="90">
        <v>0</v>
      </c>
      <c r="J38" s="90">
        <v>0</v>
      </c>
      <c r="K38" s="90">
        <v>0</v>
      </c>
      <c r="L38" s="90">
        <v>529.61</v>
      </c>
      <c r="M38" s="90">
        <v>529.61</v>
      </c>
    </row>
    <row r="39" spans="1:13" ht="8.25" customHeight="1" x14ac:dyDescent="0.25">
      <c r="A39" s="87" t="s">
        <v>127</v>
      </c>
      <c r="B39" s="88" t="s">
        <v>119</v>
      </c>
      <c r="C39" s="89">
        <v>1238.68</v>
      </c>
      <c r="D39" s="90">
        <v>0</v>
      </c>
      <c r="E39" s="89">
        <v>1238.68</v>
      </c>
      <c r="F39" s="90">
        <v>779.83</v>
      </c>
      <c r="G39" s="90">
        <v>0</v>
      </c>
      <c r="H39" s="90">
        <v>779.83</v>
      </c>
      <c r="I39" s="90">
        <v>315.16000000000003</v>
      </c>
      <c r="J39" s="90">
        <v>34.36</v>
      </c>
      <c r="K39" s="90">
        <v>349.52</v>
      </c>
      <c r="L39" s="90">
        <v>494.98</v>
      </c>
      <c r="M39" s="90">
        <v>494.98</v>
      </c>
    </row>
    <row r="40" spans="1:13" ht="8.25" customHeight="1" x14ac:dyDescent="0.25">
      <c r="A40" s="92"/>
      <c r="B40" s="91" t="s">
        <v>120</v>
      </c>
      <c r="C40" s="90">
        <v>536.6</v>
      </c>
      <c r="D40" s="90">
        <v>702.08</v>
      </c>
      <c r="E40" s="89">
        <v>1238.68</v>
      </c>
      <c r="F40" s="90">
        <v>474.35</v>
      </c>
      <c r="G40" s="90">
        <v>305.47000000000003</v>
      </c>
      <c r="H40" s="90">
        <v>779.82</v>
      </c>
      <c r="I40" s="90">
        <v>0</v>
      </c>
      <c r="J40" s="90">
        <v>0</v>
      </c>
      <c r="K40" s="90">
        <v>0</v>
      </c>
      <c r="L40" s="90">
        <v>494.98</v>
      </c>
      <c r="M40" s="90">
        <v>494.98</v>
      </c>
    </row>
    <row r="41" spans="1:13" ht="36.75" customHeight="1" x14ac:dyDescent="0.25">
      <c r="A41" s="94"/>
      <c r="B41" s="94"/>
      <c r="C41" s="95"/>
      <c r="D41" s="96" t="s">
        <v>130</v>
      </c>
      <c r="E41" s="97"/>
      <c r="F41" s="97"/>
      <c r="G41" s="97"/>
      <c r="H41" s="97"/>
      <c r="I41" s="97"/>
      <c r="J41" s="97"/>
      <c r="K41" s="97"/>
      <c r="L41" s="97"/>
      <c r="M41" s="98"/>
    </row>
    <row r="42" spans="1:13" ht="8.25" customHeight="1" x14ac:dyDescent="0.25">
      <c r="A42" s="99" t="s">
        <v>131</v>
      </c>
      <c r="B42" s="100"/>
      <c r="C42" s="100"/>
      <c r="D42" s="101"/>
      <c r="E42" s="102" t="s">
        <v>132</v>
      </c>
      <c r="F42" s="103"/>
      <c r="G42" s="104"/>
      <c r="H42" s="105" t="s">
        <v>120</v>
      </c>
      <c r="I42" s="105" t="s">
        <v>113</v>
      </c>
      <c r="J42" s="105" t="s">
        <v>114</v>
      </c>
      <c r="K42" s="105" t="s">
        <v>115</v>
      </c>
      <c r="L42" s="106" t="s">
        <v>133</v>
      </c>
      <c r="M42" s="107"/>
    </row>
    <row r="43" spans="1:13" ht="8.25" customHeight="1" x14ac:dyDescent="0.2">
      <c r="A43" s="108"/>
      <c r="B43" s="86"/>
      <c r="C43" s="86"/>
      <c r="D43" s="109"/>
      <c r="E43" s="110"/>
      <c r="F43" s="111"/>
      <c r="G43" s="112"/>
      <c r="H43" s="81"/>
      <c r="I43" s="90">
        <v>331.13</v>
      </c>
      <c r="J43" s="113">
        <v>433.24</v>
      </c>
      <c r="K43" s="113">
        <v>764.37</v>
      </c>
      <c r="L43" s="114"/>
      <c r="M43" s="115"/>
    </row>
    <row r="44" spans="1:13" ht="16.5" customHeight="1" x14ac:dyDescent="0.25">
      <c r="A44" s="99" t="s">
        <v>134</v>
      </c>
      <c r="B44" s="97"/>
      <c r="C44" s="97"/>
      <c r="D44" s="97"/>
      <c r="E44" s="97"/>
      <c r="F44" s="98"/>
      <c r="G44" s="96" t="s">
        <v>135</v>
      </c>
      <c r="H44" s="97"/>
      <c r="I44" s="97"/>
      <c r="J44" s="97"/>
      <c r="K44" s="97"/>
      <c r="L44" s="97"/>
      <c r="M44" s="97"/>
    </row>
    <row r="45" spans="1:13" ht="8.25" customHeight="1" x14ac:dyDescent="0.25">
      <c r="A45" s="116" t="s">
        <v>136</v>
      </c>
      <c r="B45" s="116"/>
      <c r="C45" s="116"/>
      <c r="D45" s="116"/>
      <c r="E45" s="116"/>
      <c r="F45" s="116"/>
      <c r="G45" s="116"/>
      <c r="H45" s="116"/>
      <c r="I45" s="116"/>
      <c r="J45" s="117"/>
      <c r="K45" s="118"/>
      <c r="L45" s="119"/>
      <c r="M45" s="119"/>
    </row>
    <row r="46" spans="1:13" ht="8.25" customHeight="1" x14ac:dyDescent="0.25">
      <c r="A46" s="120" t="s">
        <v>137</v>
      </c>
      <c r="B46" s="121"/>
      <c r="C46" s="121"/>
      <c r="D46" s="122"/>
      <c r="E46" s="123" t="s">
        <v>55</v>
      </c>
      <c r="F46" s="124" t="s">
        <v>138</v>
      </c>
      <c r="G46" s="124" t="s">
        <v>139</v>
      </c>
      <c r="H46" s="124" t="s">
        <v>140</v>
      </c>
      <c r="I46" s="124" t="s">
        <v>141</v>
      </c>
      <c r="J46" s="124" t="s">
        <v>142</v>
      </c>
      <c r="K46" s="125"/>
      <c r="L46" s="126"/>
      <c r="M46" s="126"/>
    </row>
    <row r="47" spans="1:13" ht="8.25" customHeight="1" x14ac:dyDescent="0.25">
      <c r="A47" s="127" t="s">
        <v>143</v>
      </c>
      <c r="B47" s="128"/>
      <c r="C47" s="128"/>
      <c r="D47" s="129"/>
      <c r="E47" s="130" t="s">
        <v>2</v>
      </c>
      <c r="F47" s="131">
        <v>0</v>
      </c>
      <c r="G47" s="90">
        <v>195.23</v>
      </c>
      <c r="H47" s="90">
        <v>390.45</v>
      </c>
      <c r="I47" s="90">
        <v>585.66999999999996</v>
      </c>
      <c r="J47" s="90">
        <v>780.89</v>
      </c>
      <c r="K47" s="125"/>
      <c r="L47" s="126"/>
      <c r="M47" s="126"/>
    </row>
    <row r="48" spans="1:13" ht="8.25" customHeight="1" x14ac:dyDescent="0.25">
      <c r="A48" s="127" t="s">
        <v>144</v>
      </c>
      <c r="B48" s="128"/>
      <c r="C48" s="128"/>
      <c r="D48" s="129"/>
      <c r="E48" s="130" t="s">
        <v>2</v>
      </c>
      <c r="F48" s="131">
        <v>0</v>
      </c>
      <c r="G48" s="90">
        <v>162.69</v>
      </c>
      <c r="H48" s="90">
        <v>325.37</v>
      </c>
      <c r="I48" s="90">
        <v>488.07</v>
      </c>
      <c r="J48" s="90">
        <v>650.76</v>
      </c>
      <c r="K48" s="125"/>
      <c r="L48" s="126"/>
      <c r="M48" s="126"/>
    </row>
    <row r="49" spans="1:13" ht="8.25" customHeight="1" x14ac:dyDescent="0.25">
      <c r="A49" s="127" t="s">
        <v>145</v>
      </c>
      <c r="B49" s="128"/>
      <c r="C49" s="128"/>
      <c r="D49" s="129"/>
      <c r="E49" s="130" t="s">
        <v>3</v>
      </c>
      <c r="F49" s="131">
        <v>0</v>
      </c>
      <c r="G49" s="90">
        <v>126.95</v>
      </c>
      <c r="H49" s="90">
        <v>253.78</v>
      </c>
      <c r="I49" s="90">
        <v>380.69</v>
      </c>
      <c r="J49" s="90">
        <v>507.55</v>
      </c>
      <c r="K49" s="125"/>
      <c r="L49" s="126"/>
      <c r="M49" s="126"/>
    </row>
    <row r="50" spans="1:13" ht="83.1" customHeight="1" x14ac:dyDescent="0.25"/>
  </sheetData>
  <sheetProtection algorithmName="SHA-512" hashValue="l4UD5OMHzaxBmJ0ELt4iRroEBqUHv5XXCossvNzMmNmzYNDEKVj4HT1gcZvSNVQeS6KKRU1PAGs1W8E+tEFI6w==" saltValue="bESq8n5XccxeHH95zVB6lQ==" spinCount="100000" sheet="1" objects="1" scenarios="1"/>
  <mergeCells count="25">
    <mergeCell ref="A45:J45"/>
    <mergeCell ref="K45:M49"/>
    <mergeCell ref="A46:D46"/>
    <mergeCell ref="A47:D47"/>
    <mergeCell ref="A48:D48"/>
    <mergeCell ref="A49:D49"/>
    <mergeCell ref="A42:D42"/>
    <mergeCell ref="E42:G43"/>
    <mergeCell ref="L42:M43"/>
    <mergeCell ref="A43:D43"/>
    <mergeCell ref="A44:F44"/>
    <mergeCell ref="G44:M44"/>
    <mergeCell ref="C5:M5"/>
    <mergeCell ref="B14:M14"/>
    <mergeCell ref="B27:M27"/>
    <mergeCell ref="C36:M36"/>
    <mergeCell ref="A41:C41"/>
    <mergeCell ref="D41:M41"/>
    <mergeCell ref="A1:M1"/>
    <mergeCell ref="A2:A4"/>
    <mergeCell ref="B2:M2"/>
    <mergeCell ref="B3:E3"/>
    <mergeCell ref="F3:H3"/>
    <mergeCell ref="I3:K3"/>
    <mergeCell ref="L3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PDI Funcionario e Interino</vt:lpstr>
      <vt:lpstr>PDI Contratado LOU</vt:lpstr>
      <vt:lpstr>PDI Plazas Vinculadas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2022-02-17T13:14:22Z</dcterms:modified>
</cp:coreProperties>
</file>