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DI Funcionario e Interino" sheetId="9" r:id="rId1"/>
    <sheet name="Trienios" sheetId="4" r:id="rId2"/>
    <sheet name="Tramos" sheetId="2" r:id="rId3"/>
    <sheet name="Cargos académicos" sheetId="8" r:id="rId4"/>
    <sheet name="Plazas Vinculadas" sheetId="7" r:id="rId5"/>
    <sheet name="PDI Contratado LOU" sheetId="6" r:id="rId6"/>
    <sheet name="Doctorado Asociados" sheetId="1" r:id="rId7"/>
    <sheet name="Trienios T. Parcial" sheetId="3" r:id="rId8"/>
  </sheets>
  <calcPr calcId="145621"/>
</workbook>
</file>

<file path=xl/calcChain.xml><?xml version="1.0" encoding="utf-8"?>
<calcChain xmlns="http://schemas.openxmlformats.org/spreadsheetml/2006/main">
  <c r="L20" i="9" l="1"/>
  <c r="L19" i="9"/>
  <c r="L18" i="9"/>
  <c r="L17" i="9"/>
  <c r="L13" i="9"/>
  <c r="L12" i="9"/>
  <c r="L11" i="9"/>
  <c r="L10" i="9"/>
  <c r="L6" i="9"/>
  <c r="L5" i="9"/>
  <c r="L4" i="9"/>
  <c r="L3" i="9"/>
  <c r="I20" i="9"/>
  <c r="I19" i="9"/>
  <c r="I18" i="9"/>
  <c r="I17" i="9"/>
  <c r="I13" i="9"/>
  <c r="I12" i="9"/>
  <c r="I11" i="9"/>
  <c r="I10" i="9"/>
  <c r="I6" i="9"/>
  <c r="I5" i="9"/>
  <c r="I4" i="9"/>
  <c r="I3" i="9"/>
  <c r="H20" i="9"/>
  <c r="H19" i="9"/>
  <c r="H18" i="9"/>
  <c r="H17" i="9"/>
  <c r="H13" i="9"/>
  <c r="H12" i="9"/>
  <c r="H11" i="9"/>
  <c r="H10" i="9"/>
  <c r="H6" i="9"/>
  <c r="H5" i="9"/>
  <c r="H4" i="9"/>
  <c r="H3" i="9"/>
  <c r="G20" i="9"/>
  <c r="G19" i="9"/>
  <c r="G18" i="9"/>
  <c r="G17" i="9"/>
  <c r="G13" i="9"/>
  <c r="G12" i="9"/>
  <c r="G11" i="9"/>
  <c r="G10" i="9"/>
  <c r="G6" i="9"/>
  <c r="G5" i="9"/>
  <c r="G4" i="9"/>
  <c r="G3" i="9"/>
  <c r="E20" i="9"/>
  <c r="E19" i="9"/>
  <c r="E18" i="9"/>
  <c r="E13" i="9"/>
  <c r="E12" i="9"/>
  <c r="E11" i="9"/>
  <c r="E6" i="9"/>
  <c r="E5" i="9"/>
  <c r="E4" i="9"/>
  <c r="D20" i="9"/>
  <c r="C20" i="9"/>
  <c r="D19" i="9"/>
  <c r="C19" i="9"/>
  <c r="D13" i="9"/>
  <c r="C13" i="9"/>
  <c r="D12" i="9"/>
  <c r="C12" i="9"/>
  <c r="D6" i="9"/>
  <c r="C6" i="9"/>
  <c r="D5" i="9"/>
  <c r="C5" i="9"/>
  <c r="C3" i="9"/>
  <c r="D18" i="9"/>
  <c r="C18" i="9"/>
  <c r="D11" i="9"/>
  <c r="C11" i="9"/>
  <c r="D4" i="9"/>
  <c r="C4" i="9"/>
  <c r="E17" i="9"/>
  <c r="E10" i="9"/>
  <c r="E3" i="9"/>
  <c r="D17" i="9"/>
  <c r="D10" i="9"/>
  <c r="D3" i="9"/>
  <c r="F30" i="9"/>
  <c r="C30" i="9"/>
  <c r="F29" i="9"/>
  <c r="C29" i="9"/>
  <c r="F28" i="9"/>
  <c r="C28" i="9"/>
  <c r="F27" i="9"/>
  <c r="C27" i="9"/>
  <c r="F26" i="9"/>
  <c r="C26" i="9"/>
  <c r="J6" i="9" l="1"/>
  <c r="J4" i="9"/>
  <c r="L16" i="9"/>
  <c r="L9" i="9"/>
  <c r="I16" i="9"/>
  <c r="I9" i="9"/>
  <c r="G16" i="9"/>
  <c r="J19" i="9" s="1"/>
  <c r="G9" i="9"/>
  <c r="J12" i="9" s="1"/>
  <c r="C16" i="9"/>
  <c r="F16" i="9" s="1"/>
  <c r="C9" i="9"/>
  <c r="F13" i="9" s="1"/>
  <c r="F9" i="9"/>
  <c r="J5" i="9"/>
  <c r="J3" i="9"/>
  <c r="J2" i="9"/>
  <c r="F2" i="9"/>
  <c r="F19" i="9" l="1"/>
  <c r="K19" i="9" s="1"/>
  <c r="J16" i="9"/>
  <c r="K16" i="9" s="1"/>
  <c r="F3" i="9"/>
  <c r="C17" i="9"/>
  <c r="F17" i="9" s="1"/>
  <c r="C10" i="9"/>
  <c r="F12" i="9"/>
  <c r="J11" i="9"/>
  <c r="K11" i="9" s="1"/>
  <c r="J13" i="9"/>
  <c r="J9" i="9"/>
  <c r="K9" i="9" s="1"/>
  <c r="F11" i="9"/>
  <c r="F18" i="9"/>
  <c r="F20" i="9"/>
  <c r="J17" i="9"/>
  <c r="K18" i="9"/>
  <c r="J18" i="9"/>
  <c r="K13" i="9"/>
  <c r="K12" i="9"/>
  <c r="F6" i="9"/>
  <c r="K6" i="9" s="1"/>
  <c r="F5" i="9"/>
  <c r="K5" i="9" s="1"/>
  <c r="F4" i="9"/>
  <c r="K4" i="9" s="1"/>
  <c r="J20" i="9"/>
  <c r="K20" i="9" s="1"/>
  <c r="K2" i="9"/>
  <c r="K3" i="9"/>
  <c r="K17" i="9"/>
  <c r="D35" i="6" l="1"/>
  <c r="G35" i="6" s="1"/>
  <c r="C35" i="6"/>
  <c r="F35" i="6" s="1"/>
  <c r="D34" i="6"/>
  <c r="G34" i="6" s="1"/>
  <c r="C34" i="6"/>
  <c r="F34" i="6" s="1"/>
  <c r="D33" i="6"/>
  <c r="G33" i="6" s="1"/>
  <c r="C33" i="6"/>
  <c r="F33" i="6" s="1"/>
  <c r="D32" i="6"/>
  <c r="G32" i="6" s="1"/>
  <c r="C32" i="6"/>
  <c r="F32" i="6" s="1"/>
  <c r="D31" i="6"/>
  <c r="G31" i="6" s="1"/>
  <c r="C31" i="6"/>
  <c r="F31" i="6" s="1"/>
  <c r="D29" i="6"/>
  <c r="G29" i="6" s="1"/>
  <c r="C29" i="6"/>
  <c r="F29" i="6" s="1"/>
  <c r="C27" i="6"/>
  <c r="G27" i="6" s="1"/>
  <c r="G26" i="6"/>
  <c r="F26" i="6"/>
  <c r="D24" i="6"/>
  <c r="C24" i="6"/>
  <c r="D22" i="6"/>
  <c r="C22" i="6"/>
  <c r="G20" i="6"/>
  <c r="D20" i="6"/>
  <c r="C20" i="6"/>
  <c r="F20" i="6" s="1"/>
  <c r="G16" i="6"/>
  <c r="F16" i="6"/>
  <c r="E9" i="6" s="1"/>
  <c r="G9" i="6" s="1"/>
  <c r="D12" i="6"/>
  <c r="C12" i="6"/>
  <c r="D9" i="6"/>
  <c r="E7" i="6"/>
  <c r="E22" i="6" s="1"/>
  <c r="G22" i="6" s="1"/>
  <c r="D7" i="6"/>
  <c r="G5" i="6"/>
  <c r="D5" i="6"/>
  <c r="C5" i="6"/>
  <c r="F5" i="6" s="1"/>
  <c r="M49" i="4"/>
  <c r="L49" i="4"/>
  <c r="K49" i="4"/>
  <c r="J49" i="4"/>
  <c r="I49" i="4"/>
  <c r="H49" i="4"/>
  <c r="G49" i="4"/>
  <c r="F49" i="4"/>
  <c r="E49" i="4"/>
  <c r="D49" i="4"/>
  <c r="C49" i="4"/>
  <c r="B49" i="4"/>
  <c r="M45" i="4"/>
  <c r="L45" i="4"/>
  <c r="K45" i="4"/>
  <c r="J45" i="4"/>
  <c r="I45" i="4"/>
  <c r="H45" i="4"/>
  <c r="G45" i="4"/>
  <c r="F45" i="4"/>
  <c r="E45" i="4"/>
  <c r="D45" i="4"/>
  <c r="C45" i="4"/>
  <c r="B45" i="4"/>
  <c r="M41" i="4"/>
  <c r="L41" i="4"/>
  <c r="K41" i="4"/>
  <c r="J41" i="4"/>
  <c r="I41" i="4"/>
  <c r="H41" i="4"/>
  <c r="G41" i="4"/>
  <c r="F41" i="4"/>
  <c r="E41" i="4"/>
  <c r="D41" i="4"/>
  <c r="C41" i="4"/>
  <c r="B41" i="4"/>
  <c r="M37" i="4"/>
  <c r="L37" i="4"/>
  <c r="K37" i="4"/>
  <c r="J37" i="4"/>
  <c r="I37" i="4"/>
  <c r="H37" i="4"/>
  <c r="G37" i="4"/>
  <c r="F37" i="4"/>
  <c r="E37" i="4"/>
  <c r="D37" i="4"/>
  <c r="C37" i="4"/>
  <c r="B37" i="4"/>
  <c r="M33" i="4"/>
  <c r="L33" i="4"/>
  <c r="K33" i="4"/>
  <c r="J33" i="4"/>
  <c r="I33" i="4"/>
  <c r="H33" i="4"/>
  <c r="G33" i="4"/>
  <c r="F33" i="4"/>
  <c r="E33" i="4"/>
  <c r="D33" i="4"/>
  <c r="C33" i="4"/>
  <c r="B33" i="4"/>
  <c r="M29" i="4"/>
  <c r="L29" i="4"/>
  <c r="K29" i="4"/>
  <c r="J29" i="4"/>
  <c r="I29" i="4"/>
  <c r="H29" i="4"/>
  <c r="G29" i="4"/>
  <c r="F29" i="4"/>
  <c r="E29" i="4"/>
  <c r="D29" i="4"/>
  <c r="C29" i="4"/>
  <c r="B29" i="4"/>
  <c r="M25" i="4"/>
  <c r="L25" i="4"/>
  <c r="K25" i="4"/>
  <c r="J25" i="4"/>
  <c r="I25" i="4"/>
  <c r="H25" i="4"/>
  <c r="G25" i="4"/>
  <c r="F25" i="4"/>
  <c r="E25" i="4"/>
  <c r="D25" i="4"/>
  <c r="C25" i="4"/>
  <c r="B25" i="4"/>
  <c r="M21" i="4"/>
  <c r="L21" i="4"/>
  <c r="K21" i="4"/>
  <c r="J21" i="4"/>
  <c r="I21" i="4"/>
  <c r="H21" i="4"/>
  <c r="G21" i="4"/>
  <c r="F21" i="4"/>
  <c r="E21" i="4"/>
  <c r="D21" i="4"/>
  <c r="C21" i="4"/>
  <c r="B21" i="4"/>
  <c r="M17" i="4"/>
  <c r="L17" i="4"/>
  <c r="K17" i="4"/>
  <c r="J17" i="4"/>
  <c r="I17" i="4"/>
  <c r="H17" i="4"/>
  <c r="G17" i="4"/>
  <c r="F17" i="4"/>
  <c r="E17" i="4"/>
  <c r="D17" i="4"/>
  <c r="C17" i="4"/>
  <c r="B17" i="4"/>
  <c r="M13" i="4"/>
  <c r="L13" i="4"/>
  <c r="K13" i="4"/>
  <c r="J13" i="4"/>
  <c r="I13" i="4"/>
  <c r="H13" i="4"/>
  <c r="G13" i="4"/>
  <c r="F13" i="4"/>
  <c r="E13" i="4"/>
  <c r="D13" i="4"/>
  <c r="C13" i="4"/>
  <c r="B13" i="4"/>
  <c r="M9" i="4"/>
  <c r="L9" i="4"/>
  <c r="K9" i="4"/>
  <c r="J9" i="4"/>
  <c r="I9" i="4"/>
  <c r="H9" i="4"/>
  <c r="G9" i="4"/>
  <c r="F9" i="4"/>
  <c r="E9" i="4"/>
  <c r="D9" i="4"/>
  <c r="C9" i="4"/>
  <c r="B9" i="4"/>
  <c r="M5" i="4"/>
  <c r="L5" i="4"/>
  <c r="K5" i="4"/>
  <c r="J5" i="4"/>
  <c r="I5" i="4"/>
  <c r="H5" i="4"/>
  <c r="G5" i="4"/>
  <c r="F5" i="4"/>
  <c r="E5" i="4"/>
  <c r="D5" i="4"/>
  <c r="C5" i="4"/>
  <c r="B5" i="4"/>
  <c r="G7" i="6" l="1"/>
  <c r="F12" i="6"/>
  <c r="F22" i="6"/>
  <c r="G24" i="6"/>
  <c r="E24" i="6"/>
  <c r="F24" i="6" s="1"/>
  <c r="C7" i="6"/>
  <c r="F7" i="6" s="1"/>
  <c r="C9" i="6"/>
  <c r="F9" i="6" s="1"/>
  <c r="G12" i="6"/>
  <c r="F27" i="6"/>
  <c r="P19" i="3" l="1"/>
  <c r="O19" i="3"/>
  <c r="N19" i="3"/>
  <c r="M19" i="3"/>
  <c r="L19" i="3"/>
  <c r="K19" i="3"/>
  <c r="J19" i="3"/>
  <c r="I19" i="3"/>
  <c r="H19" i="3"/>
  <c r="G19" i="3"/>
  <c r="F19" i="3"/>
  <c r="E19" i="3"/>
  <c r="P18" i="3"/>
  <c r="O18" i="3"/>
  <c r="N18" i="3"/>
  <c r="M18" i="3"/>
  <c r="L18" i="3"/>
  <c r="K18" i="3"/>
  <c r="J18" i="3"/>
  <c r="I18" i="3"/>
  <c r="H18" i="3"/>
  <c r="G18" i="3"/>
  <c r="F18" i="3"/>
  <c r="E18" i="3"/>
  <c r="P17" i="3"/>
  <c r="O17" i="3"/>
  <c r="N17" i="3"/>
  <c r="M17" i="3"/>
  <c r="L17" i="3"/>
  <c r="K17" i="3"/>
  <c r="J17" i="3"/>
  <c r="I17" i="3"/>
  <c r="H17" i="3"/>
  <c r="G17" i="3"/>
  <c r="F17" i="3"/>
  <c r="E17" i="3"/>
  <c r="P16" i="3"/>
  <c r="O16" i="3"/>
  <c r="N16" i="3"/>
  <c r="M16" i="3"/>
  <c r="L16" i="3"/>
  <c r="K16" i="3"/>
  <c r="J16" i="3"/>
  <c r="I16" i="3"/>
  <c r="H16" i="3"/>
  <c r="G16" i="3"/>
  <c r="F16" i="3"/>
  <c r="E16" i="3"/>
  <c r="P15" i="3"/>
  <c r="O15" i="3"/>
  <c r="N15" i="3"/>
  <c r="M15" i="3"/>
  <c r="L15" i="3"/>
  <c r="K15" i="3"/>
  <c r="J15" i="3"/>
  <c r="I15" i="3"/>
  <c r="H15" i="3"/>
  <c r="G15" i="3"/>
  <c r="F15" i="3"/>
  <c r="E15" i="3"/>
  <c r="P8" i="3"/>
  <c r="O8" i="3"/>
  <c r="N8" i="3"/>
  <c r="M8" i="3"/>
  <c r="L8" i="3"/>
  <c r="K8" i="3"/>
  <c r="J8" i="3"/>
  <c r="I8" i="3"/>
  <c r="H8" i="3"/>
  <c r="G8" i="3"/>
  <c r="F8" i="3"/>
  <c r="E8" i="3"/>
  <c r="P7" i="3"/>
  <c r="O7" i="3"/>
  <c r="N7" i="3"/>
  <c r="M7" i="3"/>
  <c r="L7" i="3"/>
  <c r="K7" i="3"/>
  <c r="J7" i="3"/>
  <c r="I7" i="3"/>
  <c r="H7" i="3"/>
  <c r="G7" i="3"/>
  <c r="F7" i="3"/>
  <c r="E7" i="3"/>
  <c r="P6" i="3"/>
  <c r="O6" i="3"/>
  <c r="N6" i="3"/>
  <c r="M6" i="3"/>
  <c r="L6" i="3"/>
  <c r="K6" i="3"/>
  <c r="J6" i="3"/>
  <c r="I6" i="3"/>
  <c r="H6" i="3"/>
  <c r="G6" i="3"/>
  <c r="F6" i="3"/>
  <c r="E6" i="3"/>
  <c r="P5" i="3"/>
  <c r="O5" i="3"/>
  <c r="N5" i="3"/>
  <c r="M5" i="3"/>
  <c r="L5" i="3"/>
  <c r="K5" i="3"/>
  <c r="J5" i="3"/>
  <c r="I5" i="3"/>
  <c r="H5" i="3"/>
  <c r="G5" i="3"/>
  <c r="F5" i="3"/>
  <c r="E5" i="3"/>
  <c r="P4" i="3"/>
  <c r="O4" i="3"/>
  <c r="N4" i="3"/>
  <c r="M4" i="3"/>
  <c r="L4" i="3"/>
  <c r="K4" i="3"/>
  <c r="J4" i="3"/>
  <c r="I4" i="3"/>
  <c r="H4" i="3"/>
  <c r="G4" i="3"/>
  <c r="F4" i="3"/>
  <c r="E4" i="3"/>
  <c r="G17" i="2"/>
  <c r="F17" i="2"/>
  <c r="E17" i="2"/>
  <c r="D17" i="2"/>
  <c r="G16" i="2"/>
  <c r="F16" i="2"/>
  <c r="E16" i="2"/>
  <c r="D16" i="2"/>
  <c r="G5" i="2"/>
  <c r="F5" i="2"/>
  <c r="E5" i="2"/>
  <c r="D5" i="2"/>
  <c r="C5" i="2"/>
  <c r="G4" i="2"/>
  <c r="F4" i="2"/>
  <c r="E4" i="2"/>
  <c r="D4" i="2"/>
  <c r="C4" i="2"/>
  <c r="G3" i="2"/>
  <c r="F3" i="2"/>
  <c r="E3" i="2"/>
  <c r="D3" i="2"/>
  <c r="C3" i="2"/>
  <c r="J10" i="9" l="1"/>
  <c r="F10" i="9"/>
  <c r="K10" i="9" l="1"/>
</calcChain>
</file>

<file path=xl/sharedStrings.xml><?xml version="1.0" encoding="utf-8"?>
<sst xmlns="http://schemas.openxmlformats.org/spreadsheetml/2006/main" count="230" uniqueCount="142">
  <si>
    <t>CATEGORIA UGA1L</t>
  </si>
  <si>
    <t>DEDICACION</t>
  </si>
  <si>
    <t xml:space="preserve">                                UGCSL</t>
  </si>
  <si>
    <t>JULIO-DICIEMBRE</t>
  </si>
  <si>
    <t>6H</t>
  </si>
  <si>
    <t>DEA</t>
  </si>
  <si>
    <t>DOCTORADO</t>
  </si>
  <si>
    <t>5H</t>
  </si>
  <si>
    <t>4H</t>
  </si>
  <si>
    <t>3H</t>
  </si>
  <si>
    <t>2H</t>
  </si>
  <si>
    <t>COMPLEMENTO POR DOCTORADO</t>
  </si>
  <si>
    <t>TRAMOS DOCENTES E INVESTIGADORES 2018 JULIO-DICIEMBRE (MENSUAL)</t>
  </si>
  <si>
    <t>1º</t>
  </si>
  <si>
    <t>2º</t>
  </si>
  <si>
    <t>3º</t>
  </si>
  <si>
    <t>4º</t>
  </si>
  <si>
    <t>5º</t>
  </si>
  <si>
    <t>6º</t>
  </si>
  <si>
    <t>C.U.</t>
  </si>
  <si>
    <t>T.U. Y C.E.U.</t>
  </si>
  <si>
    <t>T.E.U.</t>
  </si>
  <si>
    <t>Rector Universidad</t>
  </si>
  <si>
    <t>Vicerrector</t>
  </si>
  <si>
    <t>Decano o Director Centro</t>
  </si>
  <si>
    <t>Vicedecano, Subdirector, Secretario</t>
  </si>
  <si>
    <t>Director de Departamento</t>
  </si>
  <si>
    <t>Secretario de Departamento</t>
  </si>
  <si>
    <t>Coordinador de Master</t>
  </si>
  <si>
    <t>Director de Instituto Universitario</t>
  </si>
  <si>
    <t>(Desde Enero 2002 homologado a Director de Departamento)</t>
  </si>
  <si>
    <t>Coordinador COU</t>
  </si>
  <si>
    <t>COMPLEMENTOS AUTONÓMICOS</t>
  </si>
  <si>
    <t>MARZO Y SEPTIEMBRE</t>
  </si>
  <si>
    <t>786,20 €/Tramo</t>
  </si>
  <si>
    <t>ANUAL</t>
  </si>
  <si>
    <t>1572,40 €/Tramo</t>
  </si>
  <si>
    <t>1º TRAMO</t>
  </si>
  <si>
    <t>2ºTRAMO</t>
  </si>
  <si>
    <t>3ºTRAMO</t>
  </si>
  <si>
    <t>4ºTRAMO</t>
  </si>
  <si>
    <t>5ºTRAMO</t>
  </si>
  <si>
    <t>MARZO</t>
  </si>
  <si>
    <t>SEPTIEMBRE</t>
  </si>
  <si>
    <t>TRIENIOS DE ASOCIADOS E INTERINOS A TIEMPO PARCIAL AÑO 2018 (JULIO-DICIEMBRE)</t>
  </si>
  <si>
    <t>ASOCIADOS E INTERINOS</t>
  </si>
  <si>
    <t>UGA1L, UGISP, UGISD</t>
  </si>
  <si>
    <t>TRIENIOS DE ASOCIADOS E INTERINOS A TIEMPO PARCIAL (PAGA EXTRAORDINARIA) AÑO 2018 (JULIO-DICIEMBRE)</t>
  </si>
  <si>
    <t>TRIENIOS JULIO-DICIEMBRE 2018</t>
  </si>
  <si>
    <t>A1</t>
  </si>
  <si>
    <t>A1 Extra</t>
  </si>
  <si>
    <t>A2</t>
  </si>
  <si>
    <t>A2 Extra</t>
  </si>
  <si>
    <t>B</t>
  </si>
  <si>
    <t>B Extra</t>
  </si>
  <si>
    <t>C1</t>
  </si>
  <si>
    <t>C1 Extra</t>
  </si>
  <si>
    <t>C2</t>
  </si>
  <si>
    <t>C2 Extra</t>
  </si>
  <si>
    <t>Agrup. Prof. E</t>
  </si>
  <si>
    <t>Agrup. Prof. E Extra</t>
  </si>
  <si>
    <t>P.EXTRAS</t>
  </si>
  <si>
    <t>CUERPO</t>
  </si>
  <si>
    <t>SUELDO</t>
  </si>
  <si>
    <t>TOTAL MES</t>
  </si>
  <si>
    <t>TRIENIOS</t>
  </si>
  <si>
    <t>T.C.</t>
  </si>
  <si>
    <t>NIVEL 29</t>
  </si>
  <si>
    <t>NIVEL 27</t>
  </si>
  <si>
    <t>NIVEL 26</t>
  </si>
  <si>
    <t>MENSUAL</t>
  </si>
  <si>
    <t>COEF REDUCTOR</t>
  </si>
  <si>
    <t>RESID. POR TRIENIO</t>
  </si>
  <si>
    <t>PASIVOS</t>
  </si>
  <si>
    <t>MUFACE</t>
  </si>
  <si>
    <t>GRUPO A</t>
  </si>
  <si>
    <t>E</t>
  </si>
  <si>
    <t>RETRIBUCIONES PROFESORADO LABORAL AÑO 2018 (JULIO A DICIEMBRE). UNIVERSIDAD DE GRANADA</t>
  </si>
  <si>
    <t>CATEGORIA</t>
  </si>
  <si>
    <t>DEDIC.</t>
  </si>
  <si>
    <t>C.SINGULAR CATEG.</t>
  </si>
  <si>
    <t>C.DOCTOR</t>
  </si>
  <si>
    <t>COEFIC.2018</t>
  </si>
  <si>
    <t>AYUDANTE</t>
  </si>
  <si>
    <t>65% T.U.</t>
  </si>
  <si>
    <t>UGAYU</t>
  </si>
  <si>
    <t>AYUDANTE ( D.E.A.)</t>
  </si>
  <si>
    <t>65% + 2% T.U.</t>
  </si>
  <si>
    <t>AYUDANTE (DOCTOR)</t>
  </si>
  <si>
    <t>65% + 5% T.U.</t>
  </si>
  <si>
    <t>P. AYUDANTE DOCTOR</t>
  </si>
  <si>
    <t>90% T.U.</t>
  </si>
  <si>
    <t>UGADR</t>
  </si>
  <si>
    <t>P. CONTRATADO DOCTOR</t>
  </si>
  <si>
    <t>100% T.U.</t>
  </si>
  <si>
    <t>UGCDR</t>
  </si>
  <si>
    <t>COLABORADOR</t>
  </si>
  <si>
    <t>85% T.U.</t>
  </si>
  <si>
    <t>UGCLB</t>
  </si>
  <si>
    <t>COLABORADOR (D.E.A.)</t>
  </si>
  <si>
    <t>85% + 2% T.U.</t>
  </si>
  <si>
    <t>COLABORADOR (DOCTOR)</t>
  </si>
  <si>
    <t>85% + 5% T.U.</t>
  </si>
  <si>
    <r>
      <t>P.VISITANTE (</t>
    </r>
    <r>
      <rPr>
        <i/>
        <sz val="11"/>
        <rFont val="Arial"/>
        <family val="2"/>
      </rPr>
      <t>UGVLC)</t>
    </r>
  </si>
  <si>
    <r>
      <t>P.VISITANTE DOCTOR (</t>
    </r>
    <r>
      <rPr>
        <i/>
        <sz val="11"/>
        <rFont val="Arial"/>
        <family val="2"/>
      </rPr>
      <t>UGVLC)</t>
    </r>
  </si>
  <si>
    <t>INTERINOS</t>
  </si>
  <si>
    <t>60 % T.U.</t>
  </si>
  <si>
    <t>UGISP, UGISD</t>
  </si>
  <si>
    <t>30 % T.U.</t>
  </si>
  <si>
    <t>25 % T.U.</t>
  </si>
  <si>
    <t>20 % T.U.</t>
  </si>
  <si>
    <t>15 % T.U.</t>
  </si>
  <si>
    <t>10 % T.U.</t>
  </si>
  <si>
    <t>ASOC. CC DE LA SALUD</t>
  </si>
  <si>
    <t>UGCSL</t>
  </si>
  <si>
    <t>CARGOS ACADEMICOS 2018 JULIO-DICIEMBRE (MENSUAL)</t>
  </si>
  <si>
    <t xml:space="preserve">RETRIBUCIONES COMPLEMENTO POR DOCTORADO
PROFESORES ASOCIADOS LABORALES AÑO 2018 </t>
  </si>
  <si>
    <t>COMPLEMENTO
DESTINO</t>
  </si>
  <si>
    <t>COMPLEMENTO
ESPECÍFICO</t>
  </si>
  <si>
    <t>SUELDO
P. EXTRA</t>
  </si>
  <si>
    <t>P. ADICIONAL</t>
  </si>
  <si>
    <t>TRIENIO
P. EXTRA</t>
  </si>
  <si>
    <t>TOTAL
P. EXTRA</t>
  </si>
  <si>
    <t>TOTAL AÑO</t>
  </si>
  <si>
    <t>TRIENIO</t>
  </si>
  <si>
    <t>QUINQUENIO/
SEXENIO</t>
  </si>
  <si>
    <t>CATEDRÁTICO DE UNIVERSIDAD</t>
  </si>
  <si>
    <t>6 H</t>
  </si>
  <si>
    <t>5 H</t>
  </si>
  <si>
    <t>4 H</t>
  </si>
  <si>
    <t>3 H</t>
  </si>
  <si>
    <t>TITULAR DE UNIVERSIDAD Y</t>
  </si>
  <si>
    <t>CATEDRÁTICO ESC. UNIVERSITARIA</t>
  </si>
  <si>
    <t>TITULAR DE ESCUELA UNIVERSITARIA</t>
  </si>
  <si>
    <t>Horas</t>
  </si>
  <si>
    <t>2 H</t>
  </si>
  <si>
    <t>INDEMNIZACIÓN POR RESIDENCIA</t>
  </si>
  <si>
    <t>GRUPO</t>
  </si>
  <si>
    <t>NORMAL</t>
  </si>
  <si>
    <t>EXTRA</t>
  </si>
  <si>
    <t>IMPORTE</t>
  </si>
  <si>
    <t>CD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</si>
</sst>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0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4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/>
    <xf numFmtId="4" fontId="5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4" xfId="0" applyFont="1" applyBorder="1" applyAlignment="1"/>
    <xf numFmtId="0" fontId="8" fillId="0" borderId="3" xfId="0" applyFont="1" applyBorder="1"/>
    <xf numFmtId="0" fontId="4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2" fontId="8" fillId="0" borderId="3" xfId="0" applyNumberFormat="1" applyFont="1" applyBorder="1"/>
    <xf numFmtId="0" fontId="0" fillId="0" borderId="3" xfId="0" applyBorder="1"/>
    <xf numFmtId="2" fontId="0" fillId="0" borderId="3" xfId="0" applyNumberFormat="1" applyBorder="1"/>
    <xf numFmtId="0" fontId="9" fillId="0" borderId="3" xfId="0" applyFont="1" applyBorder="1" applyAlignment="1">
      <alignment horizontal="right"/>
    </xf>
    <xf numFmtId="0" fontId="8" fillId="0" borderId="3" xfId="0" applyNumberFormat="1" applyFont="1" applyBorder="1"/>
    <xf numFmtId="0" fontId="10" fillId="0" borderId="3" xfId="0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/>
    <xf numFmtId="0" fontId="10" fillId="0" borderId="4" xfId="0" applyFont="1" applyBorder="1" applyAlignment="1"/>
    <xf numFmtId="0" fontId="12" fillId="0" borderId="0" xfId="0" applyFont="1"/>
    <xf numFmtId="0" fontId="12" fillId="0" borderId="3" xfId="0" applyFont="1" applyBorder="1" applyAlignment="1">
      <alignment horizontal="center"/>
    </xf>
    <xf numFmtId="2" fontId="11" fillId="0" borderId="3" xfId="0" applyNumberFormat="1" applyFont="1" applyBorder="1"/>
    <xf numFmtId="2" fontId="12" fillId="0" borderId="3" xfId="0" applyNumberFormat="1" applyFont="1" applyBorder="1"/>
    <xf numFmtId="4" fontId="2" fillId="0" borderId="3" xfId="0" applyNumberFormat="1" applyFont="1" applyBorder="1" applyAlignment="1">
      <alignment horizontal="center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left"/>
    </xf>
    <xf numFmtId="4" fontId="3" fillId="0" borderId="3" xfId="0" applyNumberFormat="1" applyFont="1" applyBorder="1" applyAlignment="1">
      <alignment horizontal="center"/>
    </xf>
    <xf numFmtId="4" fontId="13" fillId="0" borderId="3" xfId="0" applyNumberFormat="1" applyFont="1" applyBorder="1"/>
    <xf numFmtId="4" fontId="4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4" xfId="0" applyFont="1" applyBorder="1" applyAlignment="1"/>
    <xf numFmtId="0" fontId="14" fillId="0" borderId="0" xfId="0" applyFont="1"/>
    <xf numFmtId="2" fontId="14" fillId="0" borderId="3" xfId="0" applyNumberFormat="1" applyFont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4" fontId="18" fillId="0" borderId="0" xfId="0" applyNumberFormat="1" applyFont="1"/>
    <xf numFmtId="4" fontId="16" fillId="0" borderId="0" xfId="0" applyNumberFormat="1" applyFont="1"/>
    <xf numFmtId="4" fontId="17" fillId="0" borderId="0" xfId="0" applyNumberFormat="1" applyFont="1"/>
    <xf numFmtId="0" fontId="18" fillId="0" borderId="3" xfId="0" applyFont="1" applyBorder="1"/>
    <xf numFmtId="2" fontId="18" fillId="0" borderId="3" xfId="0" applyNumberFormat="1" applyFont="1" applyBorder="1"/>
    <xf numFmtId="0" fontId="19" fillId="0" borderId="3" xfId="0" applyFont="1" applyBorder="1"/>
    <xf numFmtId="2" fontId="18" fillId="0" borderId="3" xfId="0" applyNumberFormat="1" applyFont="1" applyBorder="1" applyAlignment="1">
      <alignment horizontal="center"/>
    </xf>
    <xf numFmtId="2" fontId="19" fillId="0" borderId="3" xfId="0" applyNumberFormat="1" applyFont="1" applyBorder="1"/>
    <xf numFmtId="2" fontId="19" fillId="0" borderId="3" xfId="0" applyNumberFormat="1" applyFont="1" applyBorder="1" applyAlignment="1">
      <alignment horizontal="center"/>
    </xf>
    <xf numFmtId="164" fontId="19" fillId="0" borderId="3" xfId="0" applyNumberFormat="1" applyFont="1" applyBorder="1"/>
    <xf numFmtId="0" fontId="18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82625</xdr:colOff>
      <xdr:row>33</xdr:row>
      <xdr:rowOff>123824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26625" cy="6410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E37" sqref="E37"/>
    </sheetView>
  </sheetViews>
  <sheetFormatPr baseColWidth="10" defaultRowHeight="15" x14ac:dyDescent="0.25"/>
  <cols>
    <col min="1" max="1" width="38.7109375" bestFit="1" customWidth="1"/>
    <col min="2" max="2" width="6.42578125" bestFit="1" customWidth="1"/>
    <col min="3" max="3" width="10.140625" bestFit="1" customWidth="1"/>
    <col min="4" max="4" width="16.140625" customWidth="1"/>
    <col min="5" max="5" width="17.140625" customWidth="1"/>
    <col min="6" max="7" width="11.5703125" bestFit="1" customWidth="1"/>
    <col min="8" max="8" width="16.5703125" customWidth="1"/>
    <col min="9" max="12" width="11.5703125" bestFit="1" customWidth="1"/>
    <col min="13" max="13" width="15" customWidth="1"/>
    <col min="14" max="14" width="6.28515625" customWidth="1"/>
  </cols>
  <sheetData>
    <row r="1" spans="1:13" ht="33.75" x14ac:dyDescent="0.25">
      <c r="A1" s="45" t="s">
        <v>62</v>
      </c>
      <c r="B1" s="45" t="s">
        <v>134</v>
      </c>
      <c r="C1" s="45" t="s">
        <v>63</v>
      </c>
      <c r="D1" s="46" t="s">
        <v>117</v>
      </c>
      <c r="E1" s="46" t="s">
        <v>118</v>
      </c>
      <c r="F1" s="45" t="s">
        <v>64</v>
      </c>
      <c r="G1" s="46" t="s">
        <v>119</v>
      </c>
      <c r="H1" s="46" t="s">
        <v>120</v>
      </c>
      <c r="I1" s="46" t="s">
        <v>121</v>
      </c>
      <c r="J1" s="46" t="s">
        <v>122</v>
      </c>
      <c r="K1" s="46" t="s">
        <v>123</v>
      </c>
      <c r="L1" s="46" t="s">
        <v>124</v>
      </c>
      <c r="M1" s="46" t="s">
        <v>125</v>
      </c>
    </row>
    <row r="2" spans="1:13" x14ac:dyDescent="0.25">
      <c r="A2" s="47" t="s">
        <v>126</v>
      </c>
      <c r="B2" s="48" t="s">
        <v>66</v>
      </c>
      <c r="C2" s="49">
        <v>1151.17</v>
      </c>
      <c r="D2" s="49">
        <v>901.92</v>
      </c>
      <c r="E2" s="49">
        <v>1016.9</v>
      </c>
      <c r="F2" s="49">
        <f>C2+D2+E2</f>
        <v>3069.9900000000002</v>
      </c>
      <c r="G2" s="49">
        <v>710.36</v>
      </c>
      <c r="H2" s="49">
        <v>1016.9</v>
      </c>
      <c r="I2" s="49">
        <v>27.33</v>
      </c>
      <c r="J2" s="50">
        <f>G2+D2</f>
        <v>1612.28</v>
      </c>
      <c r="K2" s="50">
        <f>((F2*12)+(J2*2)+(H2*2))</f>
        <v>42098.240000000005</v>
      </c>
      <c r="L2" s="49">
        <v>44.29</v>
      </c>
      <c r="M2" s="49">
        <v>154.53</v>
      </c>
    </row>
    <row r="3" spans="1:13" x14ac:dyDescent="0.25">
      <c r="A3" s="47" t="s">
        <v>67</v>
      </c>
      <c r="B3" s="48" t="s">
        <v>127</v>
      </c>
      <c r="C3" s="51">
        <f>C2*D26</f>
        <v>498.68684400000001</v>
      </c>
      <c r="D3" s="51">
        <f>D2*D26</f>
        <v>390.71174399999995</v>
      </c>
      <c r="E3" s="51">
        <f>E2*D26</f>
        <v>440.52107999999998</v>
      </c>
      <c r="F3" s="50">
        <f>C3+D3+H3</f>
        <v>1329.919668</v>
      </c>
      <c r="G3" s="51">
        <f>G2*D26</f>
        <v>307.72795199999996</v>
      </c>
      <c r="H3" s="51">
        <f>H2*D26</f>
        <v>440.52107999999998</v>
      </c>
      <c r="I3" s="51">
        <f>I2*D26</f>
        <v>11.839355999999999</v>
      </c>
      <c r="J3" s="50">
        <f t="shared" ref="J3:J6" si="0">G3+D3</f>
        <v>698.43969599999991</v>
      </c>
      <c r="K3" s="50">
        <f t="shared" ref="K3:K6" si="1">((F3*12)+(J3*2)+(H3*2))</f>
        <v>18236.957568000002</v>
      </c>
      <c r="L3" s="51">
        <f>L2*D26</f>
        <v>19.186427999999999</v>
      </c>
      <c r="M3" s="51"/>
    </row>
    <row r="4" spans="1:13" x14ac:dyDescent="0.25">
      <c r="A4" s="48"/>
      <c r="B4" s="48" t="s">
        <v>128</v>
      </c>
      <c r="C4" s="51">
        <f>C2*D27</f>
        <v>415.57237000000003</v>
      </c>
      <c r="D4" s="51">
        <f>D2*D27</f>
        <v>325.59312</v>
      </c>
      <c r="E4" s="51">
        <f>E2*D27</f>
        <v>367.10089999999997</v>
      </c>
      <c r="F4" s="50">
        <f t="shared" ref="F4:F6" si="2">C4+D4+E4</f>
        <v>1108.26639</v>
      </c>
      <c r="G4" s="51">
        <f>G2*D27</f>
        <v>256.43995999999999</v>
      </c>
      <c r="H4" s="51">
        <f>H2*D27</f>
        <v>367.10089999999997</v>
      </c>
      <c r="I4" s="51">
        <f>I2*D27</f>
        <v>9.8661299999999983</v>
      </c>
      <c r="J4" s="50">
        <f t="shared" si="0"/>
        <v>582.03307999999993</v>
      </c>
      <c r="K4" s="50">
        <f t="shared" si="1"/>
        <v>15197.464640000002</v>
      </c>
      <c r="L4" s="51">
        <f>L2*D27</f>
        <v>15.988689999999998</v>
      </c>
      <c r="M4" s="51"/>
    </row>
    <row r="5" spans="1:13" x14ac:dyDescent="0.25">
      <c r="A5" s="48"/>
      <c r="B5" s="48" t="s">
        <v>129</v>
      </c>
      <c r="C5" s="51">
        <f>C2*D28</f>
        <v>332.45789600000001</v>
      </c>
      <c r="D5" s="51">
        <f>D2*D28</f>
        <v>260.47449599999999</v>
      </c>
      <c r="E5" s="51">
        <f>E2*D28</f>
        <v>293.68072000000001</v>
      </c>
      <c r="F5" s="50">
        <f t="shared" si="2"/>
        <v>886.613112</v>
      </c>
      <c r="G5" s="51">
        <f>G2*D28</f>
        <v>205.15196800000001</v>
      </c>
      <c r="H5" s="51">
        <f>H2*D28</f>
        <v>293.68072000000001</v>
      </c>
      <c r="I5" s="51">
        <f>I2*D28</f>
        <v>7.8929039999999997</v>
      </c>
      <c r="J5" s="50">
        <f t="shared" si="0"/>
        <v>465.626464</v>
      </c>
      <c r="K5" s="50">
        <f t="shared" si="1"/>
        <v>12157.971712</v>
      </c>
      <c r="L5" s="51">
        <f>L2*D28</f>
        <v>12.790951999999999</v>
      </c>
      <c r="M5" s="51"/>
    </row>
    <row r="6" spans="1:13" x14ac:dyDescent="0.25">
      <c r="A6" s="48"/>
      <c r="B6" s="48" t="s">
        <v>130</v>
      </c>
      <c r="C6" s="51">
        <f>C2*D29</f>
        <v>249.343422</v>
      </c>
      <c r="D6" s="51">
        <f>D2*D29</f>
        <v>195.35587199999998</v>
      </c>
      <c r="E6" s="51">
        <f>E2*D29</f>
        <v>220.26053999999999</v>
      </c>
      <c r="F6" s="50">
        <f t="shared" si="2"/>
        <v>664.959834</v>
      </c>
      <c r="G6" s="51">
        <f>G2*D29</f>
        <v>153.86397599999998</v>
      </c>
      <c r="H6" s="51">
        <f>H2*D29</f>
        <v>220.26053999999999</v>
      </c>
      <c r="I6" s="51">
        <f>I2*D29</f>
        <v>5.9196779999999993</v>
      </c>
      <c r="J6" s="50">
        <f t="shared" si="0"/>
        <v>349.21984799999996</v>
      </c>
      <c r="K6" s="50">
        <f t="shared" si="1"/>
        <v>9118.4787840000008</v>
      </c>
      <c r="L6" s="51">
        <f>L2*D29</f>
        <v>9.5932139999999997</v>
      </c>
      <c r="M6" s="51"/>
    </row>
    <row r="7" spans="1:13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x14ac:dyDescent="0.25">
      <c r="A9" s="47" t="s">
        <v>131</v>
      </c>
      <c r="B9" s="48" t="s">
        <v>66</v>
      </c>
      <c r="C9" s="49">
        <f>C2</f>
        <v>1151.17</v>
      </c>
      <c r="D9" s="49">
        <v>826.06</v>
      </c>
      <c r="E9" s="49">
        <v>474.41</v>
      </c>
      <c r="F9" s="49">
        <f>C9+D9+E9</f>
        <v>2451.64</v>
      </c>
      <c r="G9" s="49">
        <f>G2</f>
        <v>710.36</v>
      </c>
      <c r="H9" s="49">
        <v>474.41</v>
      </c>
      <c r="I9" s="49">
        <f>I2</f>
        <v>27.33</v>
      </c>
      <c r="J9" s="50">
        <f>G9+D9</f>
        <v>1536.42</v>
      </c>
      <c r="K9" s="50">
        <f>((F9*12)+(J9*2)+(H9*2))</f>
        <v>33441.340000000004</v>
      </c>
      <c r="L9" s="49">
        <f>L2</f>
        <v>44.29</v>
      </c>
      <c r="M9" s="49">
        <v>124.91</v>
      </c>
    </row>
    <row r="10" spans="1:13" x14ac:dyDescent="0.25">
      <c r="A10" s="47" t="s">
        <v>132</v>
      </c>
      <c r="B10" s="48" t="s">
        <v>127</v>
      </c>
      <c r="C10" s="51">
        <f>C9*0.4332</f>
        <v>498.68684400000001</v>
      </c>
      <c r="D10" s="51">
        <f>D9*D26</f>
        <v>357.84919199999996</v>
      </c>
      <c r="E10" s="51">
        <f>E9*D26</f>
        <v>205.51441199999999</v>
      </c>
      <c r="F10" s="50">
        <f>C10+D10+H10</f>
        <v>1062.050448</v>
      </c>
      <c r="G10" s="51">
        <f>G9*D26</f>
        <v>307.72795199999996</v>
      </c>
      <c r="H10" s="51">
        <f>H9*D26</f>
        <v>205.51441199999999</v>
      </c>
      <c r="I10" s="51">
        <f>I9*D26</f>
        <v>11.839355999999999</v>
      </c>
      <c r="J10" s="50">
        <f t="shared" ref="J10:J13" si="3">G10+D10</f>
        <v>665.57714399999986</v>
      </c>
      <c r="K10" s="50">
        <f t="shared" ref="K10:K13" si="4">((F10*12)+(J10*2)+(H10*2))</f>
        <v>14486.788487999998</v>
      </c>
      <c r="L10" s="51">
        <f>L9*D26</f>
        <v>19.186427999999999</v>
      </c>
      <c r="M10" s="51"/>
    </row>
    <row r="11" spans="1:13" x14ac:dyDescent="0.25">
      <c r="A11" s="47" t="s">
        <v>68</v>
      </c>
      <c r="B11" s="48" t="s">
        <v>128</v>
      </c>
      <c r="C11" s="51">
        <f>C9*D27</f>
        <v>415.57237000000003</v>
      </c>
      <c r="D11" s="51">
        <f>D9*D27</f>
        <v>298.20765999999998</v>
      </c>
      <c r="E11" s="51">
        <f>E9*D27</f>
        <v>171.26201</v>
      </c>
      <c r="F11" s="50">
        <f t="shared" ref="F11:F13" si="5">C11+D11+E11</f>
        <v>885.04204000000004</v>
      </c>
      <c r="G11" s="51">
        <f>G9*D27</f>
        <v>256.43995999999999</v>
      </c>
      <c r="H11" s="51">
        <f>H9*D27</f>
        <v>171.26201</v>
      </c>
      <c r="I11" s="51">
        <f>I9*D27</f>
        <v>9.8661299999999983</v>
      </c>
      <c r="J11" s="50">
        <f t="shared" si="3"/>
        <v>554.64761999999996</v>
      </c>
      <c r="K11" s="50">
        <f t="shared" si="4"/>
        <v>12072.32374</v>
      </c>
      <c r="L11" s="51">
        <f>L9*D27</f>
        <v>15.988689999999998</v>
      </c>
      <c r="M11" s="51"/>
    </row>
    <row r="12" spans="1:13" x14ac:dyDescent="0.25">
      <c r="A12" s="48"/>
      <c r="B12" s="48" t="s">
        <v>129</v>
      </c>
      <c r="C12" s="51">
        <f>C9*D28</f>
        <v>332.45789600000001</v>
      </c>
      <c r="D12" s="51">
        <f>D9*D28</f>
        <v>238.56612799999999</v>
      </c>
      <c r="E12" s="51">
        <f>E9*D28</f>
        <v>137.00960800000001</v>
      </c>
      <c r="F12" s="50">
        <f t="shared" si="5"/>
        <v>708.03363200000013</v>
      </c>
      <c r="G12" s="51">
        <f>G9*D28</f>
        <v>205.15196800000001</v>
      </c>
      <c r="H12" s="51">
        <f>H9*D28</f>
        <v>137.00960800000001</v>
      </c>
      <c r="I12" s="51">
        <f>I9*D28</f>
        <v>7.8929039999999997</v>
      </c>
      <c r="J12" s="50">
        <f t="shared" si="3"/>
        <v>443.718096</v>
      </c>
      <c r="K12" s="50">
        <f t="shared" si="4"/>
        <v>9657.8589920000013</v>
      </c>
      <c r="L12" s="51">
        <f>L9*D28</f>
        <v>12.790951999999999</v>
      </c>
      <c r="M12" s="51"/>
    </row>
    <row r="13" spans="1:13" x14ac:dyDescent="0.25">
      <c r="A13" s="48"/>
      <c r="B13" s="48" t="s">
        <v>130</v>
      </c>
      <c r="C13" s="51">
        <f>C9*D29</f>
        <v>249.343422</v>
      </c>
      <c r="D13" s="51">
        <f>D9*D29</f>
        <v>178.92459599999998</v>
      </c>
      <c r="E13" s="51">
        <f>E9*D29</f>
        <v>102.757206</v>
      </c>
      <c r="F13" s="50">
        <f t="shared" si="5"/>
        <v>531.02522399999998</v>
      </c>
      <c r="G13" s="51">
        <f>G9*D29</f>
        <v>153.86397599999998</v>
      </c>
      <c r="H13" s="51">
        <f>H9*D29</f>
        <v>102.757206</v>
      </c>
      <c r="I13" s="51">
        <f>I9*D29</f>
        <v>5.9196779999999993</v>
      </c>
      <c r="J13" s="50">
        <f t="shared" si="3"/>
        <v>332.78857199999993</v>
      </c>
      <c r="K13" s="50">
        <f t="shared" si="4"/>
        <v>7243.3942439999992</v>
      </c>
      <c r="L13" s="51">
        <f>L9*D29</f>
        <v>9.5932139999999997</v>
      </c>
      <c r="M13" s="51"/>
    </row>
    <row r="14" spans="1:13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3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3" x14ac:dyDescent="0.25">
      <c r="A16" s="47" t="s">
        <v>133</v>
      </c>
      <c r="B16" s="48" t="s">
        <v>66</v>
      </c>
      <c r="C16" s="49">
        <f>C2</f>
        <v>1151.17</v>
      </c>
      <c r="D16" s="49">
        <v>724.73</v>
      </c>
      <c r="E16" s="49">
        <v>292.89999999999998</v>
      </c>
      <c r="F16" s="49">
        <f>C16+D16+E16</f>
        <v>2168.8000000000002</v>
      </c>
      <c r="G16" s="49">
        <f>G2</f>
        <v>710.36</v>
      </c>
      <c r="H16" s="49">
        <v>292.89999999999998</v>
      </c>
      <c r="I16" s="49">
        <f>I2</f>
        <v>27.33</v>
      </c>
      <c r="J16" s="50">
        <f>G16+D16</f>
        <v>1435.0900000000001</v>
      </c>
      <c r="K16" s="50">
        <f>((F16*12)+(J16*2)+(H16*2))</f>
        <v>29481.58</v>
      </c>
      <c r="L16" s="49">
        <f>L2</f>
        <v>44.29</v>
      </c>
      <c r="M16" s="49">
        <v>105.71</v>
      </c>
    </row>
    <row r="17" spans="1:13" x14ac:dyDescent="0.25">
      <c r="A17" s="47" t="s">
        <v>69</v>
      </c>
      <c r="B17" s="48" t="s">
        <v>127</v>
      </c>
      <c r="C17" s="51">
        <f>C16*0.4332</f>
        <v>498.68684400000001</v>
      </c>
      <c r="D17" s="51">
        <f>D16*D26</f>
        <v>313.953036</v>
      </c>
      <c r="E17" s="51">
        <f>E16*D26</f>
        <v>126.88427999999998</v>
      </c>
      <c r="F17" s="50">
        <f>C17+D17+H17</f>
        <v>939.52415999999994</v>
      </c>
      <c r="G17" s="51">
        <f>G16*D26</f>
        <v>307.72795199999996</v>
      </c>
      <c r="H17" s="51">
        <f>H16*D26</f>
        <v>126.88427999999998</v>
      </c>
      <c r="I17" s="51">
        <f>I16*D26</f>
        <v>11.839355999999999</v>
      </c>
      <c r="J17" s="50">
        <f t="shared" ref="J17:J20" si="6">G17+D17</f>
        <v>621.68098799999996</v>
      </c>
      <c r="K17" s="50">
        <f t="shared" ref="K17:K20" si="7">((F17*12)+(J17*2)+(H17*2))</f>
        <v>12771.420456</v>
      </c>
      <c r="L17" s="51">
        <f>L16*D26</f>
        <v>19.186427999999999</v>
      </c>
      <c r="M17" s="51"/>
    </row>
    <row r="18" spans="1:13" x14ac:dyDescent="0.25">
      <c r="A18" s="48"/>
      <c r="B18" s="48" t="s">
        <v>128</v>
      </c>
      <c r="C18" s="51">
        <f>C16*D27</f>
        <v>415.57237000000003</v>
      </c>
      <c r="D18" s="51">
        <f>D16*D27</f>
        <v>261.62752999999998</v>
      </c>
      <c r="E18" s="51">
        <f>E16*D27</f>
        <v>105.73689999999999</v>
      </c>
      <c r="F18" s="50">
        <f t="shared" ref="F18:F20" si="8">C18+D18+E18</f>
        <v>782.93680000000006</v>
      </c>
      <c r="G18" s="51">
        <f>G16*D27</f>
        <v>256.43995999999999</v>
      </c>
      <c r="H18" s="51">
        <f>H16*D27</f>
        <v>105.73689999999999</v>
      </c>
      <c r="I18" s="51">
        <f>I16*D27</f>
        <v>9.8661299999999983</v>
      </c>
      <c r="J18" s="50">
        <f t="shared" si="6"/>
        <v>518.06748999999991</v>
      </c>
      <c r="K18" s="50">
        <f t="shared" si="7"/>
        <v>10642.85038</v>
      </c>
      <c r="L18" s="51">
        <f>L16*D27</f>
        <v>15.988689999999998</v>
      </c>
      <c r="M18" s="51"/>
    </row>
    <row r="19" spans="1:13" x14ac:dyDescent="0.25">
      <c r="A19" s="48"/>
      <c r="B19" s="48" t="s">
        <v>129</v>
      </c>
      <c r="C19" s="51">
        <f>C16*D28</f>
        <v>332.45789600000001</v>
      </c>
      <c r="D19" s="51">
        <f>D16*D28</f>
        <v>209.30202400000002</v>
      </c>
      <c r="E19" s="51">
        <f>E16*D28</f>
        <v>84.589519999999993</v>
      </c>
      <c r="F19" s="50">
        <f t="shared" si="8"/>
        <v>626.34943999999996</v>
      </c>
      <c r="G19" s="51">
        <f>G16*D28</f>
        <v>205.15196800000001</v>
      </c>
      <c r="H19" s="51">
        <f>H16*D28</f>
        <v>84.589519999999993</v>
      </c>
      <c r="I19" s="51">
        <f>I16*D28</f>
        <v>7.8929039999999997</v>
      </c>
      <c r="J19" s="50">
        <f t="shared" si="6"/>
        <v>414.45399200000003</v>
      </c>
      <c r="K19" s="50">
        <f t="shared" si="7"/>
        <v>8514.2803039999999</v>
      </c>
      <c r="L19" s="51">
        <f>L16*D28</f>
        <v>12.790951999999999</v>
      </c>
      <c r="M19" s="51"/>
    </row>
    <row r="20" spans="1:13" x14ac:dyDescent="0.25">
      <c r="A20" s="48"/>
      <c r="B20" s="48" t="s">
        <v>130</v>
      </c>
      <c r="C20" s="51">
        <f>C16*D29</f>
        <v>249.343422</v>
      </c>
      <c r="D20" s="51">
        <f>D16*D29</f>
        <v>156.976518</v>
      </c>
      <c r="E20" s="51">
        <f>E16*D29</f>
        <v>63.442139999999988</v>
      </c>
      <c r="F20" s="50">
        <f t="shared" si="8"/>
        <v>469.76207999999997</v>
      </c>
      <c r="G20" s="51">
        <f>G16*D29</f>
        <v>153.86397599999998</v>
      </c>
      <c r="H20" s="51">
        <f>H16*D29</f>
        <v>63.442139999999988</v>
      </c>
      <c r="I20" s="51">
        <f>I16*D29</f>
        <v>5.9196779999999993</v>
      </c>
      <c r="J20" s="50">
        <f t="shared" si="6"/>
        <v>310.84049399999998</v>
      </c>
      <c r="K20" s="50">
        <f t="shared" si="7"/>
        <v>6385.7102279999999</v>
      </c>
      <c r="L20" s="51">
        <f>L16*D29</f>
        <v>9.5932139999999997</v>
      </c>
      <c r="M20" s="51"/>
    </row>
    <row r="21" spans="1:13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3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3" x14ac:dyDescent="0.25">
      <c r="A23" s="67" t="s">
        <v>136</v>
      </c>
      <c r="B23" s="67"/>
      <c r="C23" s="67"/>
      <c r="D23" s="67"/>
      <c r="E23" s="67"/>
      <c r="F23" s="67"/>
      <c r="G23" s="67"/>
      <c r="H23" s="67"/>
      <c r="I23" s="48"/>
      <c r="J23" s="48"/>
      <c r="K23" s="48"/>
      <c r="L23" s="48"/>
      <c r="M23" s="48"/>
    </row>
    <row r="24" spans="1:13" x14ac:dyDescent="0.25">
      <c r="A24" s="54"/>
      <c r="B24" s="52"/>
      <c r="C24" s="53" t="s">
        <v>70</v>
      </c>
      <c r="D24" s="53" t="s">
        <v>71</v>
      </c>
      <c r="E24" s="65" t="s">
        <v>72</v>
      </c>
      <c r="F24" s="66"/>
      <c r="G24" s="55" t="s">
        <v>137</v>
      </c>
      <c r="H24" s="55" t="s">
        <v>124</v>
      </c>
      <c r="K24" s="55" t="s">
        <v>137</v>
      </c>
      <c r="L24" s="55" t="s">
        <v>73</v>
      </c>
      <c r="M24" s="55" t="s">
        <v>74</v>
      </c>
    </row>
    <row r="25" spans="1:13" x14ac:dyDescent="0.25">
      <c r="A25" s="68" t="s">
        <v>75</v>
      </c>
      <c r="B25" s="54" t="s">
        <v>66</v>
      </c>
      <c r="C25" s="53">
        <v>914.94</v>
      </c>
      <c r="D25" s="56"/>
      <c r="E25" s="60" t="s">
        <v>66</v>
      </c>
      <c r="F25" s="55">
        <v>55.36</v>
      </c>
      <c r="G25" s="60" t="s">
        <v>49</v>
      </c>
      <c r="H25" s="55">
        <v>55.36</v>
      </c>
      <c r="K25" s="59" t="s">
        <v>49</v>
      </c>
      <c r="L25" s="53">
        <v>111.9</v>
      </c>
      <c r="M25" s="53">
        <v>48.99</v>
      </c>
    </row>
    <row r="26" spans="1:13" x14ac:dyDescent="0.25">
      <c r="A26" s="69"/>
      <c r="B26" s="48" t="s">
        <v>127</v>
      </c>
      <c r="C26" s="56">
        <f>C25*D26</f>
        <v>396.35200800000001</v>
      </c>
      <c r="D26" s="58">
        <v>0.43319999999999997</v>
      </c>
      <c r="E26" s="61" t="s">
        <v>127</v>
      </c>
      <c r="F26" s="57">
        <f>F25*0.4332</f>
        <v>23.981952</v>
      </c>
      <c r="G26" s="60" t="s">
        <v>51</v>
      </c>
      <c r="H26" s="57">
        <v>42.24</v>
      </c>
      <c r="K26" s="60" t="s">
        <v>51</v>
      </c>
      <c r="L26" s="56">
        <v>88.07</v>
      </c>
      <c r="M26" s="56">
        <v>38.56</v>
      </c>
    </row>
    <row r="27" spans="1:13" x14ac:dyDescent="0.25">
      <c r="A27" s="69"/>
      <c r="B27" s="48" t="s">
        <v>128</v>
      </c>
      <c r="C27" s="56">
        <f>C25*D27</f>
        <v>330.29334</v>
      </c>
      <c r="D27" s="58">
        <v>0.36099999999999999</v>
      </c>
      <c r="E27" s="61" t="s">
        <v>128</v>
      </c>
      <c r="F27" s="57">
        <f>F25*0.361</f>
        <v>19.984959999999997</v>
      </c>
      <c r="G27" s="57" t="s">
        <v>55</v>
      </c>
      <c r="H27" s="57">
        <v>33.880000000000003</v>
      </c>
      <c r="K27" s="60" t="s">
        <v>53</v>
      </c>
      <c r="L27" s="54">
        <v>77.12</v>
      </c>
      <c r="M27" s="54">
        <v>33.76</v>
      </c>
    </row>
    <row r="28" spans="1:13" x14ac:dyDescent="0.25">
      <c r="A28" s="69"/>
      <c r="B28" s="48" t="s">
        <v>129</v>
      </c>
      <c r="C28" s="56">
        <f>C25*D28</f>
        <v>264.23467199999999</v>
      </c>
      <c r="D28" s="58">
        <v>0.2888</v>
      </c>
      <c r="E28" s="61" t="s">
        <v>129</v>
      </c>
      <c r="F28" s="57">
        <f>F25*0.2888</f>
        <v>15.987968</v>
      </c>
      <c r="G28" s="57" t="s">
        <v>57</v>
      </c>
      <c r="H28" s="57">
        <v>22.81</v>
      </c>
      <c r="K28" s="57" t="s">
        <v>55</v>
      </c>
      <c r="L28" s="56">
        <v>67.64</v>
      </c>
      <c r="M28" s="56">
        <v>29.61</v>
      </c>
    </row>
    <row r="29" spans="1:13" x14ac:dyDescent="0.25">
      <c r="A29" s="69"/>
      <c r="B29" s="48" t="s">
        <v>130</v>
      </c>
      <c r="C29" s="56">
        <f>C25*D29</f>
        <v>198.17600400000001</v>
      </c>
      <c r="D29" s="58">
        <v>0.21659999999999999</v>
      </c>
      <c r="E29" s="61" t="s">
        <v>130</v>
      </c>
      <c r="F29" s="57">
        <f>F25*0.2166</f>
        <v>11.990976</v>
      </c>
      <c r="G29" s="57" t="s">
        <v>76</v>
      </c>
      <c r="H29" s="57">
        <v>16.97</v>
      </c>
      <c r="K29" s="57" t="s">
        <v>57</v>
      </c>
      <c r="L29" s="56">
        <v>53.51</v>
      </c>
      <c r="M29" s="56">
        <v>23.43</v>
      </c>
    </row>
    <row r="30" spans="1:13" x14ac:dyDescent="0.25">
      <c r="A30" s="70"/>
      <c r="B30" s="54" t="s">
        <v>135</v>
      </c>
      <c r="C30" s="56">
        <f>C25*D30</f>
        <v>132.11733599999999</v>
      </c>
      <c r="D30" s="58">
        <v>0.1444</v>
      </c>
      <c r="E30" s="60" t="s">
        <v>135</v>
      </c>
      <c r="F30" s="57">
        <f>F25*0.1444</f>
        <v>7.9939840000000002</v>
      </c>
      <c r="G30" s="48"/>
      <c r="K30" s="57" t="s">
        <v>76</v>
      </c>
      <c r="L30" s="56">
        <v>45.62</v>
      </c>
      <c r="M30" s="56">
        <v>19.98</v>
      </c>
    </row>
    <row r="33" spans="4:10" x14ac:dyDescent="0.25">
      <c r="D33" s="63" t="s">
        <v>65</v>
      </c>
      <c r="E33" s="63"/>
      <c r="F33" s="63"/>
      <c r="G33" s="63"/>
      <c r="I33" s="63" t="s">
        <v>141</v>
      </c>
      <c r="J33" s="63"/>
    </row>
    <row r="34" spans="4:10" x14ac:dyDescent="0.25">
      <c r="D34" s="63" t="s">
        <v>138</v>
      </c>
      <c r="E34" s="63"/>
      <c r="F34" s="63" t="s">
        <v>139</v>
      </c>
      <c r="G34" s="63"/>
      <c r="I34" s="64">
        <v>1194.93</v>
      </c>
      <c r="J34" s="64"/>
    </row>
    <row r="35" spans="4:10" x14ac:dyDescent="0.25">
      <c r="D35" s="62" t="s">
        <v>137</v>
      </c>
      <c r="E35" s="62" t="s">
        <v>140</v>
      </c>
      <c r="F35" s="62" t="s">
        <v>137</v>
      </c>
      <c r="G35" s="62" t="s">
        <v>140</v>
      </c>
    </row>
    <row r="36" spans="4:10" x14ac:dyDescent="0.25">
      <c r="D36" s="60" t="s">
        <v>49</v>
      </c>
      <c r="E36" s="57">
        <v>44.29</v>
      </c>
      <c r="F36" s="60" t="s">
        <v>49</v>
      </c>
      <c r="G36" s="57">
        <v>27.33</v>
      </c>
    </row>
    <row r="37" spans="4:10" x14ac:dyDescent="0.25">
      <c r="D37" s="60" t="s">
        <v>51</v>
      </c>
      <c r="E37" s="57">
        <v>36.11</v>
      </c>
      <c r="F37" s="60" t="s">
        <v>51</v>
      </c>
      <c r="G37" s="57">
        <v>26.33</v>
      </c>
    </row>
    <row r="38" spans="4:10" x14ac:dyDescent="0.25">
      <c r="D38" s="60" t="s">
        <v>53</v>
      </c>
      <c r="E38" s="57">
        <v>31.69</v>
      </c>
      <c r="F38" s="60" t="s">
        <v>53</v>
      </c>
      <c r="G38" s="57">
        <v>27.4</v>
      </c>
    </row>
    <row r="39" spans="4:10" x14ac:dyDescent="0.25">
      <c r="D39" s="57" t="s">
        <v>55</v>
      </c>
      <c r="E39" s="57">
        <v>27.33</v>
      </c>
      <c r="F39" s="57" t="s">
        <v>55</v>
      </c>
      <c r="G39" s="57">
        <v>23.6</v>
      </c>
    </row>
    <row r="40" spans="4:10" x14ac:dyDescent="0.25">
      <c r="D40" s="57" t="s">
        <v>57</v>
      </c>
      <c r="E40" s="57">
        <v>18.600000000000001</v>
      </c>
      <c r="F40" s="57" t="s">
        <v>57</v>
      </c>
      <c r="G40" s="57">
        <v>18.420000000000002</v>
      </c>
    </row>
    <row r="41" spans="4:10" x14ac:dyDescent="0.25">
      <c r="D41" s="57" t="s">
        <v>76</v>
      </c>
      <c r="E41" s="57">
        <v>14</v>
      </c>
      <c r="F41" s="57" t="s">
        <v>76</v>
      </c>
      <c r="G41" s="57">
        <v>14</v>
      </c>
    </row>
  </sheetData>
  <sheetProtection password="CAB1" sheet="1" objects="1" scenarios="1"/>
  <mergeCells count="8">
    <mergeCell ref="I33:J33"/>
    <mergeCell ref="I34:J34"/>
    <mergeCell ref="E24:F24"/>
    <mergeCell ref="A23:H23"/>
    <mergeCell ref="A25:A30"/>
    <mergeCell ref="D34:E34"/>
    <mergeCell ref="F34:G34"/>
    <mergeCell ref="D33:G33"/>
  </mergeCells>
  <pageMargins left="0.31496062992125984" right="0.31496062992125984" top="0.55118110236220474" bottom="0.55118110236220474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D17" sqref="D17"/>
    </sheetView>
  </sheetViews>
  <sheetFormatPr baseColWidth="10" defaultRowHeight="15" x14ac:dyDescent="0.25"/>
  <sheetData>
    <row r="1" spans="1:13" x14ac:dyDescent="0.25">
      <c r="A1" s="72" t="s">
        <v>48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x14ac:dyDescent="0.25">
      <c r="A3" s="71" t="s">
        <v>49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25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</row>
    <row r="5" spans="1:13" x14ac:dyDescent="0.25">
      <c r="A5" s="31">
        <v>44.28</v>
      </c>
      <c r="B5" s="32">
        <f>$A$5*B4</f>
        <v>88.56</v>
      </c>
      <c r="C5" s="32">
        <f t="shared" ref="C5:M5" si="0">$A$5*C4</f>
        <v>132.84</v>
      </c>
      <c r="D5" s="32">
        <f t="shared" si="0"/>
        <v>177.12</v>
      </c>
      <c r="E5" s="32">
        <f t="shared" si="0"/>
        <v>221.4</v>
      </c>
      <c r="F5" s="32">
        <f t="shared" si="0"/>
        <v>265.68</v>
      </c>
      <c r="G5" s="32">
        <f t="shared" si="0"/>
        <v>309.96000000000004</v>
      </c>
      <c r="H5" s="32">
        <f t="shared" si="0"/>
        <v>354.24</v>
      </c>
      <c r="I5" s="32">
        <f t="shared" si="0"/>
        <v>398.52</v>
      </c>
      <c r="J5" s="32">
        <f t="shared" si="0"/>
        <v>442.8</v>
      </c>
      <c r="K5" s="32">
        <f t="shared" si="0"/>
        <v>487.08000000000004</v>
      </c>
      <c r="L5" s="32">
        <f t="shared" si="0"/>
        <v>531.36</v>
      </c>
      <c r="M5" s="32">
        <f t="shared" si="0"/>
        <v>575.64</v>
      </c>
    </row>
    <row r="6" spans="1:13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x14ac:dyDescent="0.25">
      <c r="A7" s="71" t="s">
        <v>50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x14ac:dyDescent="0.25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30">
        <v>11</v>
      </c>
      <c r="L8" s="30">
        <v>12</v>
      </c>
      <c r="M8" s="30">
        <v>13</v>
      </c>
    </row>
    <row r="9" spans="1:13" x14ac:dyDescent="0.25">
      <c r="A9" s="31">
        <v>27.32</v>
      </c>
      <c r="B9" s="32">
        <f>$A$9*B8</f>
        <v>54.64</v>
      </c>
      <c r="C9" s="32">
        <f t="shared" ref="C9:M9" si="1">$A$9*C8</f>
        <v>81.960000000000008</v>
      </c>
      <c r="D9" s="32">
        <f t="shared" si="1"/>
        <v>109.28</v>
      </c>
      <c r="E9" s="32">
        <f t="shared" si="1"/>
        <v>136.6</v>
      </c>
      <c r="F9" s="32">
        <f t="shared" si="1"/>
        <v>163.92000000000002</v>
      </c>
      <c r="G9" s="32">
        <f t="shared" si="1"/>
        <v>191.24</v>
      </c>
      <c r="H9" s="32">
        <f t="shared" si="1"/>
        <v>218.56</v>
      </c>
      <c r="I9" s="32">
        <f t="shared" si="1"/>
        <v>245.88</v>
      </c>
      <c r="J9" s="32">
        <f t="shared" si="1"/>
        <v>273.2</v>
      </c>
      <c r="K9" s="32">
        <f t="shared" si="1"/>
        <v>300.52</v>
      </c>
      <c r="L9" s="32">
        <f t="shared" si="1"/>
        <v>327.84000000000003</v>
      </c>
      <c r="M9" s="32">
        <f t="shared" si="1"/>
        <v>355.16</v>
      </c>
    </row>
    <row r="10" spans="1:13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3" x14ac:dyDescent="0.25">
      <c r="A11" s="71" t="s">
        <v>51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x14ac:dyDescent="0.25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30">
        <v>10</v>
      </c>
      <c r="K12" s="30">
        <v>11</v>
      </c>
      <c r="L12" s="30">
        <v>12</v>
      </c>
      <c r="M12" s="30">
        <v>13</v>
      </c>
    </row>
    <row r="13" spans="1:13" x14ac:dyDescent="0.25">
      <c r="A13" s="31">
        <v>36.1</v>
      </c>
      <c r="B13" s="32">
        <f>$A$13*B12</f>
        <v>72.2</v>
      </c>
      <c r="C13" s="32">
        <f t="shared" ref="C13:M13" si="2">$A$13*C12</f>
        <v>108.30000000000001</v>
      </c>
      <c r="D13" s="32">
        <f t="shared" si="2"/>
        <v>144.4</v>
      </c>
      <c r="E13" s="32">
        <f t="shared" si="2"/>
        <v>180.5</v>
      </c>
      <c r="F13" s="32">
        <f t="shared" si="2"/>
        <v>216.60000000000002</v>
      </c>
      <c r="G13" s="32">
        <f t="shared" si="2"/>
        <v>252.70000000000002</v>
      </c>
      <c r="H13" s="32">
        <f t="shared" si="2"/>
        <v>288.8</v>
      </c>
      <c r="I13" s="32">
        <f t="shared" si="2"/>
        <v>324.90000000000003</v>
      </c>
      <c r="J13" s="32">
        <f t="shared" si="2"/>
        <v>361</v>
      </c>
      <c r="K13" s="32">
        <f t="shared" si="2"/>
        <v>397.1</v>
      </c>
      <c r="L13" s="32">
        <f t="shared" si="2"/>
        <v>433.20000000000005</v>
      </c>
      <c r="M13" s="32">
        <f t="shared" si="2"/>
        <v>469.3</v>
      </c>
    </row>
    <row r="14" spans="1:13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 x14ac:dyDescent="0.25">
      <c r="A15" s="71" t="s">
        <v>52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x14ac:dyDescent="0.25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13</v>
      </c>
    </row>
    <row r="17" spans="1:13" x14ac:dyDescent="0.25">
      <c r="A17" s="31">
        <v>26.32</v>
      </c>
      <c r="B17" s="32">
        <f>$A$17*B16</f>
        <v>52.64</v>
      </c>
      <c r="C17" s="32">
        <f t="shared" ref="C17:M17" si="3">$A$17*C16</f>
        <v>78.960000000000008</v>
      </c>
      <c r="D17" s="32">
        <f t="shared" si="3"/>
        <v>105.28</v>
      </c>
      <c r="E17" s="32">
        <f t="shared" si="3"/>
        <v>131.6</v>
      </c>
      <c r="F17" s="32">
        <f t="shared" si="3"/>
        <v>157.92000000000002</v>
      </c>
      <c r="G17" s="32">
        <f t="shared" si="3"/>
        <v>184.24</v>
      </c>
      <c r="H17" s="32">
        <f t="shared" si="3"/>
        <v>210.56</v>
      </c>
      <c r="I17" s="32">
        <f t="shared" si="3"/>
        <v>236.88</v>
      </c>
      <c r="J17" s="32">
        <f t="shared" si="3"/>
        <v>263.2</v>
      </c>
      <c r="K17" s="32">
        <f t="shared" si="3"/>
        <v>289.52</v>
      </c>
      <c r="L17" s="32">
        <f t="shared" si="3"/>
        <v>315.84000000000003</v>
      </c>
      <c r="M17" s="32">
        <f t="shared" si="3"/>
        <v>342.16</v>
      </c>
    </row>
    <row r="18" spans="1:13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71" t="s">
        <v>53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13" x14ac:dyDescent="0.25">
      <c r="A20" s="30">
        <v>1</v>
      </c>
      <c r="B20" s="30">
        <v>2</v>
      </c>
      <c r="C20" s="30">
        <v>3</v>
      </c>
      <c r="D20" s="30">
        <v>4</v>
      </c>
      <c r="E20" s="30">
        <v>5</v>
      </c>
      <c r="F20" s="30">
        <v>6</v>
      </c>
      <c r="G20" s="30">
        <v>7</v>
      </c>
      <c r="H20" s="30">
        <v>8</v>
      </c>
      <c r="I20" s="30">
        <v>9</v>
      </c>
      <c r="J20" s="30">
        <v>10</v>
      </c>
      <c r="K20" s="30">
        <v>11</v>
      </c>
      <c r="L20" s="30">
        <v>12</v>
      </c>
      <c r="M20" s="30">
        <v>13</v>
      </c>
    </row>
    <row r="21" spans="1:13" x14ac:dyDescent="0.25">
      <c r="A21" s="31">
        <v>31.69</v>
      </c>
      <c r="B21" s="32">
        <f>$A$21*B20</f>
        <v>63.38</v>
      </c>
      <c r="C21" s="32">
        <f t="shared" ref="C21:M21" si="4">$A$21*C20</f>
        <v>95.070000000000007</v>
      </c>
      <c r="D21" s="32">
        <f t="shared" si="4"/>
        <v>126.76</v>
      </c>
      <c r="E21" s="32">
        <f t="shared" si="4"/>
        <v>158.45000000000002</v>
      </c>
      <c r="F21" s="32">
        <f t="shared" si="4"/>
        <v>190.14000000000001</v>
      </c>
      <c r="G21" s="32">
        <f t="shared" si="4"/>
        <v>221.83</v>
      </c>
      <c r="H21" s="32">
        <f t="shared" si="4"/>
        <v>253.52</v>
      </c>
      <c r="I21" s="32">
        <f t="shared" si="4"/>
        <v>285.21000000000004</v>
      </c>
      <c r="J21" s="32">
        <f t="shared" si="4"/>
        <v>316.90000000000003</v>
      </c>
      <c r="K21" s="32">
        <f t="shared" si="4"/>
        <v>348.59000000000003</v>
      </c>
      <c r="L21" s="32">
        <f t="shared" si="4"/>
        <v>380.28000000000003</v>
      </c>
      <c r="M21" s="32">
        <f t="shared" si="4"/>
        <v>411.97</v>
      </c>
    </row>
    <row r="22" spans="1:13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x14ac:dyDescent="0.25">
      <c r="A23" s="71" t="s">
        <v>54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x14ac:dyDescent="0.25">
      <c r="A24" s="30">
        <v>1</v>
      </c>
      <c r="B24" s="30">
        <v>2</v>
      </c>
      <c r="C24" s="30">
        <v>3</v>
      </c>
      <c r="D24" s="30">
        <v>4</v>
      </c>
      <c r="E24" s="30">
        <v>5</v>
      </c>
      <c r="F24" s="30">
        <v>6</v>
      </c>
      <c r="G24" s="30">
        <v>7</v>
      </c>
      <c r="H24" s="30">
        <v>8</v>
      </c>
      <c r="I24" s="30">
        <v>9</v>
      </c>
      <c r="J24" s="30">
        <v>10</v>
      </c>
      <c r="K24" s="30">
        <v>11</v>
      </c>
      <c r="L24" s="30">
        <v>12</v>
      </c>
      <c r="M24" s="30">
        <v>13</v>
      </c>
    </row>
    <row r="25" spans="1:13" x14ac:dyDescent="0.25">
      <c r="A25" s="31">
        <v>27.39</v>
      </c>
      <c r="B25" s="32">
        <f>$A$25*B24</f>
        <v>54.78</v>
      </c>
      <c r="C25" s="32">
        <f t="shared" ref="C25:M25" si="5">$A$25*C24</f>
        <v>82.17</v>
      </c>
      <c r="D25" s="32">
        <f t="shared" si="5"/>
        <v>109.56</v>
      </c>
      <c r="E25" s="32">
        <f t="shared" si="5"/>
        <v>136.94999999999999</v>
      </c>
      <c r="F25" s="32">
        <f t="shared" si="5"/>
        <v>164.34</v>
      </c>
      <c r="G25" s="32">
        <f t="shared" si="5"/>
        <v>191.73000000000002</v>
      </c>
      <c r="H25" s="32">
        <f t="shared" si="5"/>
        <v>219.12</v>
      </c>
      <c r="I25" s="32">
        <f t="shared" si="5"/>
        <v>246.51</v>
      </c>
      <c r="J25" s="32">
        <f t="shared" si="5"/>
        <v>273.89999999999998</v>
      </c>
      <c r="K25" s="32">
        <f t="shared" si="5"/>
        <v>301.29000000000002</v>
      </c>
      <c r="L25" s="32">
        <f t="shared" si="5"/>
        <v>328.68</v>
      </c>
      <c r="M25" s="32">
        <f t="shared" si="5"/>
        <v>356.07</v>
      </c>
    </row>
    <row r="26" spans="1:13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x14ac:dyDescent="0.25">
      <c r="A27" s="71" t="s">
        <v>55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 x14ac:dyDescent="0.25">
      <c r="A28" s="30">
        <v>1</v>
      </c>
      <c r="B28" s="30">
        <v>2</v>
      </c>
      <c r="C28" s="30">
        <v>3</v>
      </c>
      <c r="D28" s="30">
        <v>4</v>
      </c>
      <c r="E28" s="30">
        <v>5</v>
      </c>
      <c r="F28" s="30">
        <v>6</v>
      </c>
      <c r="G28" s="30">
        <v>7</v>
      </c>
      <c r="H28" s="30">
        <v>8</v>
      </c>
      <c r="I28" s="30">
        <v>9</v>
      </c>
      <c r="J28" s="30">
        <v>10</v>
      </c>
      <c r="K28" s="30">
        <v>11</v>
      </c>
      <c r="L28" s="30">
        <v>12</v>
      </c>
      <c r="M28" s="30">
        <v>13</v>
      </c>
    </row>
    <row r="29" spans="1:13" x14ac:dyDescent="0.25">
      <c r="A29" s="31">
        <v>27.32</v>
      </c>
      <c r="B29" s="32">
        <f>$A$29*B28</f>
        <v>54.64</v>
      </c>
      <c r="C29" s="32">
        <f t="shared" ref="C29:M29" si="6">$A$29*C28</f>
        <v>81.960000000000008</v>
      </c>
      <c r="D29" s="32">
        <f t="shared" si="6"/>
        <v>109.28</v>
      </c>
      <c r="E29" s="32">
        <f t="shared" si="6"/>
        <v>136.6</v>
      </c>
      <c r="F29" s="32">
        <f t="shared" si="6"/>
        <v>163.92000000000002</v>
      </c>
      <c r="G29" s="32">
        <f t="shared" si="6"/>
        <v>191.24</v>
      </c>
      <c r="H29" s="32">
        <f t="shared" si="6"/>
        <v>218.56</v>
      </c>
      <c r="I29" s="32">
        <f t="shared" si="6"/>
        <v>245.88</v>
      </c>
      <c r="J29" s="32">
        <f t="shared" si="6"/>
        <v>273.2</v>
      </c>
      <c r="K29" s="32">
        <f t="shared" si="6"/>
        <v>300.52</v>
      </c>
      <c r="L29" s="32">
        <f t="shared" si="6"/>
        <v>327.84000000000003</v>
      </c>
      <c r="M29" s="32">
        <f t="shared" si="6"/>
        <v>355.16</v>
      </c>
    </row>
    <row r="30" spans="1:13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x14ac:dyDescent="0.25">
      <c r="A31" s="71" t="s">
        <v>56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</row>
    <row r="32" spans="1:13" x14ac:dyDescent="0.25">
      <c r="A32" s="30">
        <v>1</v>
      </c>
      <c r="B32" s="30">
        <v>2</v>
      </c>
      <c r="C32" s="30">
        <v>3</v>
      </c>
      <c r="D32" s="30">
        <v>4</v>
      </c>
      <c r="E32" s="30">
        <v>5</v>
      </c>
      <c r="F32" s="30">
        <v>6</v>
      </c>
      <c r="G32" s="30">
        <v>7</v>
      </c>
      <c r="H32" s="30">
        <v>8</v>
      </c>
      <c r="I32" s="30">
        <v>9</v>
      </c>
      <c r="J32" s="30">
        <v>10</v>
      </c>
      <c r="K32" s="30">
        <v>11</v>
      </c>
      <c r="L32" s="30">
        <v>12</v>
      </c>
      <c r="M32" s="30">
        <v>13</v>
      </c>
    </row>
    <row r="33" spans="1:13" x14ac:dyDescent="0.25">
      <c r="A33" s="31">
        <v>23.6</v>
      </c>
      <c r="B33" s="32">
        <f>$A$33*B32</f>
        <v>47.2</v>
      </c>
      <c r="C33" s="32">
        <f t="shared" ref="C33:M33" si="7">$A$33*C32</f>
        <v>70.800000000000011</v>
      </c>
      <c r="D33" s="32">
        <f t="shared" si="7"/>
        <v>94.4</v>
      </c>
      <c r="E33" s="32">
        <f t="shared" si="7"/>
        <v>118</v>
      </c>
      <c r="F33" s="32">
        <f t="shared" si="7"/>
        <v>141.60000000000002</v>
      </c>
      <c r="G33" s="32">
        <f t="shared" si="7"/>
        <v>165.20000000000002</v>
      </c>
      <c r="H33" s="32">
        <f t="shared" si="7"/>
        <v>188.8</v>
      </c>
      <c r="I33" s="32">
        <f t="shared" si="7"/>
        <v>212.4</v>
      </c>
      <c r="J33" s="32">
        <f t="shared" si="7"/>
        <v>236</v>
      </c>
      <c r="K33" s="32">
        <f t="shared" si="7"/>
        <v>259.60000000000002</v>
      </c>
      <c r="L33" s="32">
        <f t="shared" si="7"/>
        <v>283.20000000000005</v>
      </c>
      <c r="M33" s="32">
        <f t="shared" si="7"/>
        <v>306.8</v>
      </c>
    </row>
    <row r="34" spans="1:13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x14ac:dyDescent="0.25">
      <c r="A35" s="71" t="s">
        <v>57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1:13" x14ac:dyDescent="0.25">
      <c r="A36" s="30">
        <v>1</v>
      </c>
      <c r="B36" s="30">
        <v>2</v>
      </c>
      <c r="C36" s="30">
        <v>3</v>
      </c>
      <c r="D36" s="30">
        <v>4</v>
      </c>
      <c r="E36" s="30">
        <v>5</v>
      </c>
      <c r="F36" s="30">
        <v>6</v>
      </c>
      <c r="G36" s="30">
        <v>7</v>
      </c>
      <c r="H36" s="30">
        <v>8</v>
      </c>
      <c r="I36" s="30">
        <v>9</v>
      </c>
      <c r="J36" s="30">
        <v>10</v>
      </c>
      <c r="K36" s="30">
        <v>11</v>
      </c>
      <c r="L36" s="30">
        <v>12</v>
      </c>
      <c r="M36" s="30">
        <v>13</v>
      </c>
    </row>
    <row r="37" spans="1:13" x14ac:dyDescent="0.25">
      <c r="A37" s="31">
        <v>18.600000000000001</v>
      </c>
      <c r="B37" s="32">
        <f>$A$37*B36</f>
        <v>37.200000000000003</v>
      </c>
      <c r="C37" s="32">
        <f t="shared" ref="C37:M37" si="8">$A$37*C36</f>
        <v>55.800000000000004</v>
      </c>
      <c r="D37" s="32">
        <f t="shared" si="8"/>
        <v>74.400000000000006</v>
      </c>
      <c r="E37" s="32">
        <f t="shared" si="8"/>
        <v>93</v>
      </c>
      <c r="F37" s="32">
        <f t="shared" si="8"/>
        <v>111.60000000000001</v>
      </c>
      <c r="G37" s="32">
        <f t="shared" si="8"/>
        <v>130.20000000000002</v>
      </c>
      <c r="H37" s="32">
        <f t="shared" si="8"/>
        <v>148.80000000000001</v>
      </c>
      <c r="I37" s="32">
        <f t="shared" si="8"/>
        <v>167.4</v>
      </c>
      <c r="J37" s="32">
        <f t="shared" si="8"/>
        <v>186</v>
      </c>
      <c r="K37" s="32">
        <f t="shared" si="8"/>
        <v>204.60000000000002</v>
      </c>
      <c r="L37" s="32">
        <f t="shared" si="8"/>
        <v>223.20000000000002</v>
      </c>
      <c r="M37" s="32">
        <f t="shared" si="8"/>
        <v>241.8</v>
      </c>
    </row>
    <row r="38" spans="1:13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 x14ac:dyDescent="0.25">
      <c r="A39" s="71" t="s">
        <v>58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</row>
    <row r="40" spans="1:13" x14ac:dyDescent="0.25">
      <c r="A40" s="30">
        <v>1</v>
      </c>
      <c r="B40" s="30">
        <v>2</v>
      </c>
      <c r="C40" s="30">
        <v>3</v>
      </c>
      <c r="D40" s="30">
        <v>4</v>
      </c>
      <c r="E40" s="30">
        <v>5</v>
      </c>
      <c r="F40" s="30">
        <v>6</v>
      </c>
      <c r="G40" s="30">
        <v>7</v>
      </c>
      <c r="H40" s="30">
        <v>8</v>
      </c>
      <c r="I40" s="30">
        <v>9</v>
      </c>
      <c r="J40" s="30">
        <v>10</v>
      </c>
      <c r="K40" s="30">
        <v>11</v>
      </c>
      <c r="L40" s="30">
        <v>12</v>
      </c>
      <c r="M40" s="30">
        <v>13</v>
      </c>
    </row>
    <row r="41" spans="1:13" x14ac:dyDescent="0.25">
      <c r="A41" s="31">
        <v>18.41</v>
      </c>
      <c r="B41" s="32">
        <f>$A$41*B40</f>
        <v>36.82</v>
      </c>
      <c r="C41" s="32">
        <f t="shared" ref="C41:M41" si="9">$A$41*C40</f>
        <v>55.230000000000004</v>
      </c>
      <c r="D41" s="32">
        <f t="shared" si="9"/>
        <v>73.64</v>
      </c>
      <c r="E41" s="32">
        <f t="shared" si="9"/>
        <v>92.05</v>
      </c>
      <c r="F41" s="32">
        <f t="shared" si="9"/>
        <v>110.46000000000001</v>
      </c>
      <c r="G41" s="32">
        <f t="shared" si="9"/>
        <v>128.87</v>
      </c>
      <c r="H41" s="32">
        <f t="shared" si="9"/>
        <v>147.28</v>
      </c>
      <c r="I41" s="32">
        <f t="shared" si="9"/>
        <v>165.69</v>
      </c>
      <c r="J41" s="32">
        <f t="shared" si="9"/>
        <v>184.1</v>
      </c>
      <c r="K41" s="32">
        <f t="shared" si="9"/>
        <v>202.51</v>
      </c>
      <c r="L41" s="32">
        <f t="shared" si="9"/>
        <v>220.92000000000002</v>
      </c>
      <c r="M41" s="32">
        <f t="shared" si="9"/>
        <v>239.33</v>
      </c>
    </row>
    <row r="42" spans="1:13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x14ac:dyDescent="0.25">
      <c r="A43" s="71" t="s">
        <v>59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</row>
    <row r="44" spans="1:13" x14ac:dyDescent="0.25">
      <c r="A44" s="30">
        <v>1</v>
      </c>
      <c r="B44" s="30">
        <v>2</v>
      </c>
      <c r="C44" s="30">
        <v>3</v>
      </c>
      <c r="D44" s="30">
        <v>4</v>
      </c>
      <c r="E44" s="30">
        <v>5</v>
      </c>
      <c r="F44" s="30">
        <v>6</v>
      </c>
      <c r="G44" s="30">
        <v>7</v>
      </c>
      <c r="H44" s="30">
        <v>8</v>
      </c>
      <c r="I44" s="30">
        <v>9</v>
      </c>
      <c r="J44" s="30">
        <v>10</v>
      </c>
      <c r="K44" s="30">
        <v>11</v>
      </c>
      <c r="L44" s="30">
        <v>12</v>
      </c>
      <c r="M44" s="30">
        <v>13</v>
      </c>
    </row>
    <row r="45" spans="1:13" x14ac:dyDescent="0.25">
      <c r="A45" s="31">
        <v>13.99</v>
      </c>
      <c r="B45" s="32">
        <f>$A$45*B44</f>
        <v>27.98</v>
      </c>
      <c r="C45" s="32">
        <f t="shared" ref="C45:M45" si="10">$A$45*C44</f>
        <v>41.97</v>
      </c>
      <c r="D45" s="32">
        <f t="shared" si="10"/>
        <v>55.96</v>
      </c>
      <c r="E45" s="32">
        <f t="shared" si="10"/>
        <v>69.95</v>
      </c>
      <c r="F45" s="32">
        <f t="shared" si="10"/>
        <v>83.94</v>
      </c>
      <c r="G45" s="32">
        <f t="shared" si="10"/>
        <v>97.93</v>
      </c>
      <c r="H45" s="32">
        <f t="shared" si="10"/>
        <v>111.92</v>
      </c>
      <c r="I45" s="32">
        <f t="shared" si="10"/>
        <v>125.91</v>
      </c>
      <c r="J45" s="32">
        <f t="shared" si="10"/>
        <v>139.9</v>
      </c>
      <c r="K45" s="32">
        <f t="shared" si="10"/>
        <v>153.89000000000001</v>
      </c>
      <c r="L45" s="32">
        <f t="shared" si="10"/>
        <v>167.88</v>
      </c>
      <c r="M45" s="32">
        <f t="shared" si="10"/>
        <v>181.87</v>
      </c>
    </row>
    <row r="46" spans="1:13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x14ac:dyDescent="0.25">
      <c r="A47" s="71" t="s">
        <v>60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</row>
    <row r="48" spans="1:13" x14ac:dyDescent="0.25">
      <c r="A48" s="30">
        <v>1</v>
      </c>
      <c r="B48" s="30">
        <v>2</v>
      </c>
      <c r="C48" s="30">
        <v>3</v>
      </c>
      <c r="D48" s="30">
        <v>4</v>
      </c>
      <c r="E48" s="30">
        <v>5</v>
      </c>
      <c r="F48" s="30">
        <v>6</v>
      </c>
      <c r="G48" s="30">
        <v>7</v>
      </c>
      <c r="H48" s="30">
        <v>8</v>
      </c>
      <c r="I48" s="30">
        <v>9</v>
      </c>
      <c r="J48" s="30">
        <v>10</v>
      </c>
      <c r="K48" s="30">
        <v>11</v>
      </c>
      <c r="L48" s="30">
        <v>12</v>
      </c>
      <c r="M48" s="30">
        <v>13</v>
      </c>
    </row>
    <row r="49" spans="1:13" x14ac:dyDescent="0.25">
      <c r="A49" s="31">
        <v>13.99</v>
      </c>
      <c r="B49" s="32">
        <f>$A$49*B48</f>
        <v>27.98</v>
      </c>
      <c r="C49" s="32">
        <f t="shared" ref="C49:M49" si="11">$A$49*C48</f>
        <v>41.97</v>
      </c>
      <c r="D49" s="32">
        <f t="shared" si="11"/>
        <v>55.96</v>
      </c>
      <c r="E49" s="32">
        <f t="shared" si="11"/>
        <v>69.95</v>
      </c>
      <c r="F49" s="32">
        <f t="shared" si="11"/>
        <v>83.94</v>
      </c>
      <c r="G49" s="32">
        <f t="shared" si="11"/>
        <v>97.93</v>
      </c>
      <c r="H49" s="32">
        <f t="shared" si="11"/>
        <v>111.92</v>
      </c>
      <c r="I49" s="32">
        <f t="shared" si="11"/>
        <v>125.91</v>
      </c>
      <c r="J49" s="32">
        <f t="shared" si="11"/>
        <v>139.9</v>
      </c>
      <c r="K49" s="32">
        <f t="shared" si="11"/>
        <v>153.89000000000001</v>
      </c>
      <c r="L49" s="32">
        <f t="shared" si="11"/>
        <v>167.88</v>
      </c>
      <c r="M49" s="32">
        <f t="shared" si="11"/>
        <v>181.87</v>
      </c>
    </row>
  </sheetData>
  <sheetProtection password="CAB1" sheet="1" objects="1" scenarios="1"/>
  <mergeCells count="13">
    <mergeCell ref="A19:M19"/>
    <mergeCell ref="A1:M1"/>
    <mergeCell ref="A3:M3"/>
    <mergeCell ref="A7:M7"/>
    <mergeCell ref="A11:M11"/>
    <mergeCell ref="A15:M15"/>
    <mergeCell ref="A47:M47"/>
    <mergeCell ref="A23:M23"/>
    <mergeCell ref="A27:M27"/>
    <mergeCell ref="A31:M31"/>
    <mergeCell ref="A35:M35"/>
    <mergeCell ref="A39:M39"/>
    <mergeCell ref="A43:M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D17" sqref="D17"/>
    </sheetView>
  </sheetViews>
  <sheetFormatPr baseColWidth="10" defaultColWidth="9.140625" defaultRowHeight="15" x14ac:dyDescent="0.25"/>
  <cols>
    <col min="1" max="1" width="19.28515625" customWidth="1"/>
    <col min="2" max="2" width="16.5703125" bestFit="1" customWidth="1"/>
    <col min="3" max="3" width="11.85546875" bestFit="1" customWidth="1"/>
    <col min="4" max="4" width="11.28515625" bestFit="1" customWidth="1"/>
    <col min="5" max="5" width="15" customWidth="1"/>
    <col min="6" max="6" width="11.85546875" customWidth="1"/>
    <col min="7" max="7" width="11.28515625" bestFit="1" customWidth="1"/>
  </cols>
  <sheetData>
    <row r="1" spans="1:8" ht="18" x14ac:dyDescent="0.25">
      <c r="A1" s="11" t="s">
        <v>12</v>
      </c>
      <c r="B1" s="12"/>
      <c r="C1" s="12"/>
      <c r="D1" s="12"/>
      <c r="E1" s="12"/>
      <c r="F1" s="12"/>
      <c r="G1" s="12"/>
      <c r="H1" s="13"/>
    </row>
    <row r="2" spans="1:8" ht="18" x14ac:dyDescent="0.25">
      <c r="A2" s="15"/>
      <c r="B2" s="16" t="s">
        <v>13</v>
      </c>
      <c r="C2" s="16" t="s">
        <v>14</v>
      </c>
      <c r="D2" s="16" t="s">
        <v>15</v>
      </c>
      <c r="E2" s="16" t="s">
        <v>16</v>
      </c>
      <c r="F2" s="16" t="s">
        <v>17</v>
      </c>
      <c r="G2" s="16" t="s">
        <v>18</v>
      </c>
      <c r="H2" s="14"/>
    </row>
    <row r="3" spans="1:8" ht="18" x14ac:dyDescent="0.25">
      <c r="A3" s="17" t="s">
        <v>19</v>
      </c>
      <c r="B3" s="18">
        <v>154.22999999999999</v>
      </c>
      <c r="C3" s="18">
        <f>B3*2</f>
        <v>308.45999999999998</v>
      </c>
      <c r="D3" s="18">
        <f>B3*3</f>
        <v>462.68999999999994</v>
      </c>
      <c r="E3" s="18">
        <f>B3*4</f>
        <v>616.91999999999996</v>
      </c>
      <c r="F3" s="18">
        <f>B3*5</f>
        <v>771.15</v>
      </c>
      <c r="G3" s="18">
        <f>B3*6</f>
        <v>925.37999999999988</v>
      </c>
      <c r="H3" s="14"/>
    </row>
    <row r="4" spans="1:8" ht="18" x14ac:dyDescent="0.25">
      <c r="A4" s="17" t="s">
        <v>20</v>
      </c>
      <c r="B4" s="18">
        <v>124.91</v>
      </c>
      <c r="C4" s="18">
        <f>B4*2</f>
        <v>249.82</v>
      </c>
      <c r="D4" s="18">
        <f>B4*3</f>
        <v>374.73</v>
      </c>
      <c r="E4" s="18">
        <f>B4*4</f>
        <v>499.64</v>
      </c>
      <c r="F4" s="18">
        <f>B4*5</f>
        <v>624.54999999999995</v>
      </c>
      <c r="G4" s="18">
        <f>B4*6</f>
        <v>749.46</v>
      </c>
      <c r="H4" s="14"/>
    </row>
    <row r="5" spans="1:8" ht="18" x14ac:dyDescent="0.25">
      <c r="A5" s="17" t="s">
        <v>21</v>
      </c>
      <c r="B5" s="18">
        <v>105.71</v>
      </c>
      <c r="C5" s="18">
        <f>B5*2</f>
        <v>211.42</v>
      </c>
      <c r="D5" s="18">
        <f>B5*3</f>
        <v>317.13</v>
      </c>
      <c r="E5" s="18">
        <f>B5*4</f>
        <v>422.84</v>
      </c>
      <c r="F5" s="18">
        <f>B5*5</f>
        <v>528.54999999999995</v>
      </c>
      <c r="G5" s="18">
        <f>B5*6</f>
        <v>634.26</v>
      </c>
      <c r="H5" s="14"/>
    </row>
    <row r="6" spans="1:8" x14ac:dyDescent="0.25">
      <c r="A6" s="19"/>
      <c r="B6" s="19"/>
      <c r="C6" s="19"/>
      <c r="D6" s="19"/>
      <c r="E6" s="19"/>
      <c r="F6" s="19"/>
      <c r="G6" s="19"/>
      <c r="H6" s="19"/>
    </row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x14ac:dyDescent="0.25">
      <c r="A8" s="76"/>
      <c r="B8" s="77"/>
      <c r="C8" s="78"/>
      <c r="D8" s="19"/>
      <c r="E8" s="19"/>
      <c r="F8" s="19"/>
      <c r="G8" s="19"/>
      <c r="H8" s="19"/>
    </row>
    <row r="9" spans="1:8" x14ac:dyDescent="0.25">
      <c r="A9" s="19"/>
      <c r="B9" s="19"/>
      <c r="C9" s="19"/>
      <c r="D9" s="19"/>
      <c r="E9" s="19"/>
      <c r="F9" s="19"/>
      <c r="G9" s="19"/>
      <c r="H9" s="19"/>
    </row>
    <row r="10" spans="1:8" ht="18" x14ac:dyDescent="0.25">
      <c r="A10" s="19"/>
      <c r="B10" s="79" t="s">
        <v>32</v>
      </c>
      <c r="C10" s="80"/>
      <c r="D10" s="80"/>
      <c r="E10" s="80"/>
      <c r="F10" s="81"/>
      <c r="G10" s="19"/>
      <c r="H10" s="19"/>
    </row>
    <row r="11" spans="1:8" x14ac:dyDescent="0.25">
      <c r="A11" s="19"/>
      <c r="B11" s="19"/>
      <c r="C11" s="19"/>
      <c r="D11" s="19"/>
      <c r="E11" s="19"/>
      <c r="F11" s="19"/>
      <c r="G11" s="19"/>
      <c r="H11" s="19"/>
    </row>
    <row r="12" spans="1:8" ht="18" x14ac:dyDescent="0.25">
      <c r="A12" s="73" t="s">
        <v>33</v>
      </c>
      <c r="B12" s="74"/>
      <c r="C12" s="75"/>
      <c r="D12" s="19"/>
      <c r="E12" s="14" t="s">
        <v>34</v>
      </c>
      <c r="F12" s="19"/>
      <c r="G12" s="19"/>
      <c r="H12" s="19"/>
    </row>
    <row r="13" spans="1:8" ht="18" x14ac:dyDescent="0.25">
      <c r="A13" s="19"/>
      <c r="B13" s="15"/>
      <c r="C13" s="21" t="s">
        <v>35</v>
      </c>
      <c r="D13" s="19"/>
      <c r="E13" s="14" t="s">
        <v>36</v>
      </c>
      <c r="F13" s="19"/>
      <c r="G13" s="19"/>
      <c r="H13" s="19"/>
    </row>
    <row r="14" spans="1:8" x14ac:dyDescent="0.25">
      <c r="A14" s="19"/>
      <c r="B14" s="19"/>
      <c r="C14" s="19"/>
      <c r="D14" s="19"/>
      <c r="E14" s="19"/>
      <c r="F14" s="19"/>
      <c r="G14" s="19"/>
      <c r="H14" s="19"/>
    </row>
    <row r="15" spans="1:8" ht="15.75" x14ac:dyDescent="0.25">
      <c r="A15" s="14"/>
      <c r="B15" s="14"/>
      <c r="C15" s="14" t="s">
        <v>37</v>
      </c>
      <c r="D15" s="14" t="s">
        <v>38</v>
      </c>
      <c r="E15" s="14" t="s">
        <v>39</v>
      </c>
      <c r="F15" s="14" t="s">
        <v>40</v>
      </c>
      <c r="G15" s="14" t="s">
        <v>41</v>
      </c>
      <c r="H15" s="14"/>
    </row>
    <row r="16" spans="1:8" ht="15.75" x14ac:dyDescent="0.25">
      <c r="A16" s="14"/>
      <c r="B16" s="15" t="s">
        <v>42</v>
      </c>
      <c r="C16" s="22">
        <v>786.2</v>
      </c>
      <c r="D16" s="22">
        <f>C16*2</f>
        <v>1572.4</v>
      </c>
      <c r="E16" s="22">
        <f>C16*3</f>
        <v>2358.6000000000004</v>
      </c>
      <c r="F16" s="22">
        <f>C16*4</f>
        <v>3144.8</v>
      </c>
      <c r="G16" s="22">
        <f>C16*5</f>
        <v>3931</v>
      </c>
      <c r="H16" s="14"/>
    </row>
    <row r="17" spans="1:8" ht="15.75" x14ac:dyDescent="0.25">
      <c r="A17" s="14"/>
      <c r="B17" s="15" t="s">
        <v>43</v>
      </c>
      <c r="C17" s="22">
        <v>786.2</v>
      </c>
      <c r="D17" s="22">
        <f>C17*2</f>
        <v>1572.4</v>
      </c>
      <c r="E17" s="22">
        <f>C17*3</f>
        <v>2358.6000000000004</v>
      </c>
      <c r="F17" s="22">
        <f>C17*4</f>
        <v>3144.8</v>
      </c>
      <c r="G17" s="22">
        <f>C17*5</f>
        <v>3931</v>
      </c>
      <c r="H17" s="14"/>
    </row>
    <row r="18" spans="1:8" ht="15.75" x14ac:dyDescent="0.25">
      <c r="A18" s="14"/>
      <c r="B18" s="14"/>
      <c r="C18" s="14"/>
      <c r="D18" s="14"/>
      <c r="E18" s="14"/>
      <c r="F18" s="14"/>
      <c r="G18" s="14"/>
      <c r="H18" s="14"/>
    </row>
  </sheetData>
  <sheetProtection password="CAB1" sheet="1" objects="1" scenarios="1"/>
  <mergeCells count="3">
    <mergeCell ref="A12:C12"/>
    <mergeCell ref="A8:C8"/>
    <mergeCell ref="B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17" sqref="D17"/>
    </sheetView>
  </sheetViews>
  <sheetFormatPr baseColWidth="10" defaultRowHeight="15" x14ac:dyDescent="0.25"/>
  <cols>
    <col min="3" max="3" width="18.7109375" customWidth="1"/>
  </cols>
  <sheetData>
    <row r="1" spans="1:8" ht="15.75" x14ac:dyDescent="0.25">
      <c r="A1" s="39"/>
      <c r="B1" s="40" t="s">
        <v>115</v>
      </c>
      <c r="C1" s="41"/>
      <c r="D1" s="41"/>
      <c r="E1" s="41"/>
      <c r="F1" s="42"/>
      <c r="G1" s="39"/>
      <c r="H1" s="39"/>
    </row>
    <row r="2" spans="1:8" ht="15.75" x14ac:dyDescent="0.25">
      <c r="A2" s="39"/>
      <c r="B2" s="39"/>
      <c r="C2" s="39"/>
      <c r="D2" s="39"/>
      <c r="E2" s="39"/>
      <c r="F2" s="39"/>
      <c r="G2" s="39"/>
      <c r="H2" s="39"/>
    </row>
    <row r="3" spans="1:8" ht="15.75" x14ac:dyDescent="0.25">
      <c r="A3" s="82" t="s">
        <v>22</v>
      </c>
      <c r="B3" s="83"/>
      <c r="C3" s="84"/>
      <c r="D3" s="39"/>
      <c r="E3" s="18">
        <v>1478.8751999999999</v>
      </c>
      <c r="F3" s="43"/>
      <c r="G3" s="44"/>
      <c r="H3" s="39"/>
    </row>
    <row r="4" spans="1:8" ht="15.75" x14ac:dyDescent="0.25">
      <c r="A4" s="82" t="s">
        <v>23</v>
      </c>
      <c r="B4" s="83"/>
      <c r="C4" s="84"/>
      <c r="D4" s="39"/>
      <c r="E4" s="18">
        <v>668.56872500000009</v>
      </c>
      <c r="F4" s="39"/>
      <c r="G4" s="44"/>
      <c r="H4" s="39"/>
    </row>
    <row r="5" spans="1:8" ht="15.75" x14ac:dyDescent="0.25">
      <c r="A5" s="82" t="s">
        <v>24</v>
      </c>
      <c r="B5" s="83"/>
      <c r="C5" s="84"/>
      <c r="D5" s="39"/>
      <c r="E5" s="18">
        <v>521.27542499999993</v>
      </c>
      <c r="F5" s="39"/>
      <c r="G5" s="44"/>
      <c r="H5" s="39"/>
    </row>
    <row r="6" spans="1:8" ht="15.75" x14ac:dyDescent="0.25">
      <c r="A6" s="82" t="s">
        <v>25</v>
      </c>
      <c r="B6" s="83"/>
      <c r="C6" s="84"/>
      <c r="D6" s="39"/>
      <c r="E6" s="18">
        <v>281.29804999999999</v>
      </c>
      <c r="F6" s="39"/>
      <c r="G6" s="44"/>
      <c r="H6" s="39"/>
    </row>
    <row r="7" spans="1:8" ht="15.75" x14ac:dyDescent="0.25">
      <c r="A7" s="82" t="s">
        <v>26</v>
      </c>
      <c r="B7" s="83"/>
      <c r="C7" s="84"/>
      <c r="D7" s="39"/>
      <c r="E7" s="18">
        <v>377.19742499999995</v>
      </c>
      <c r="F7" s="39"/>
      <c r="G7" s="44"/>
      <c r="H7" s="39"/>
    </row>
    <row r="8" spans="1:8" ht="15.75" x14ac:dyDescent="0.25">
      <c r="A8" s="82" t="s">
        <v>27</v>
      </c>
      <c r="B8" s="83"/>
      <c r="C8" s="84"/>
      <c r="D8" s="39"/>
      <c r="E8" s="18">
        <v>202.76740000000001</v>
      </c>
      <c r="F8" s="39"/>
      <c r="G8" s="44"/>
      <c r="H8" s="39"/>
    </row>
    <row r="9" spans="1:8" ht="15.75" x14ac:dyDescent="0.25">
      <c r="A9" s="82" t="s">
        <v>28</v>
      </c>
      <c r="B9" s="83"/>
      <c r="C9" s="84"/>
      <c r="D9" s="39"/>
      <c r="E9" s="18">
        <v>202.76740000000001</v>
      </c>
      <c r="F9" s="39"/>
      <c r="G9" s="44"/>
      <c r="H9" s="39"/>
    </row>
    <row r="10" spans="1:8" ht="15.75" x14ac:dyDescent="0.25">
      <c r="A10" s="82" t="s">
        <v>29</v>
      </c>
      <c r="B10" s="83"/>
      <c r="C10" s="84"/>
      <c r="D10" s="39"/>
      <c r="E10" s="18">
        <v>377.19742499999995</v>
      </c>
      <c r="F10" s="39" t="s">
        <v>30</v>
      </c>
      <c r="G10" s="44"/>
      <c r="H10" s="39"/>
    </row>
    <row r="11" spans="1:8" ht="15.75" x14ac:dyDescent="0.25">
      <c r="A11" s="82" t="s">
        <v>31</v>
      </c>
      <c r="B11" s="83"/>
      <c r="C11" s="84"/>
      <c r="D11" s="39"/>
      <c r="E11" s="18">
        <v>146.68279999999999</v>
      </c>
      <c r="F11" s="39"/>
      <c r="G11" s="44"/>
      <c r="H11" s="39"/>
    </row>
  </sheetData>
  <sheetProtection password="CAB1" sheet="1" objects="1" scenarios="1"/>
  <mergeCells count="9">
    <mergeCell ref="A8:C8"/>
    <mergeCell ref="A9:C9"/>
    <mergeCell ref="A10:C10"/>
    <mergeCell ref="A11:C11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D17" sqref="D17"/>
    </sheetView>
  </sheetViews>
  <sheetFormatPr baseColWidth="10" defaultRowHeight="15" x14ac:dyDescent="0.25"/>
  <sheetData/>
  <sheetProtection password="CAB1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9" workbookViewId="0">
      <selection activeCell="J6" sqref="J6"/>
    </sheetView>
  </sheetViews>
  <sheetFormatPr baseColWidth="10" defaultRowHeight="15" x14ac:dyDescent="0.25"/>
  <cols>
    <col min="1" max="1" width="34.42578125" bestFit="1" customWidth="1"/>
    <col min="2" max="2" width="8.28515625" bestFit="1" customWidth="1"/>
    <col min="3" max="3" width="10" bestFit="1" customWidth="1"/>
    <col min="4" max="4" width="23" bestFit="1" customWidth="1"/>
    <col min="5" max="5" width="12.7109375" bestFit="1" customWidth="1"/>
    <col min="6" max="6" width="13.42578125" bestFit="1" customWidth="1"/>
    <col min="7" max="7" width="11.5703125" bestFit="1" customWidth="1"/>
    <col min="8" max="8" width="15" bestFit="1" customWidth="1"/>
  </cols>
  <sheetData>
    <row r="1" spans="1:8" x14ac:dyDescent="0.25">
      <c r="A1" s="85" t="s">
        <v>77</v>
      </c>
      <c r="B1" s="86"/>
      <c r="C1" s="86"/>
      <c r="D1" s="86"/>
      <c r="E1" s="86"/>
      <c r="F1" s="86"/>
      <c r="G1" s="86"/>
      <c r="H1" s="87"/>
    </row>
    <row r="2" spans="1:8" x14ac:dyDescent="0.25">
      <c r="A2" s="33"/>
      <c r="B2" s="33"/>
      <c r="C2" s="33"/>
      <c r="D2" s="33"/>
      <c r="E2" s="33"/>
      <c r="F2" s="33"/>
      <c r="G2" s="33"/>
      <c r="H2" s="33"/>
    </row>
    <row r="3" spans="1:8" x14ac:dyDescent="0.25">
      <c r="A3" s="34" t="s">
        <v>78</v>
      </c>
      <c r="B3" s="35" t="s">
        <v>79</v>
      </c>
      <c r="C3" s="36" t="s">
        <v>63</v>
      </c>
      <c r="D3" s="36" t="s">
        <v>80</v>
      </c>
      <c r="E3" s="36" t="s">
        <v>81</v>
      </c>
      <c r="F3" s="36" t="s">
        <v>64</v>
      </c>
      <c r="G3" s="36" t="s">
        <v>61</v>
      </c>
      <c r="H3" s="36" t="s">
        <v>82</v>
      </c>
    </row>
    <row r="4" spans="1:8" x14ac:dyDescent="0.25">
      <c r="A4" s="34"/>
      <c r="B4" s="35"/>
      <c r="C4" s="36"/>
      <c r="D4" s="36"/>
      <c r="E4" s="34"/>
      <c r="F4" s="36"/>
      <c r="G4" s="6">
        <v>710.36</v>
      </c>
      <c r="H4" s="36"/>
    </row>
    <row r="5" spans="1:8" x14ac:dyDescent="0.25">
      <c r="A5" s="34" t="s">
        <v>83</v>
      </c>
      <c r="B5" s="8" t="s">
        <v>66</v>
      </c>
      <c r="C5" s="6" t="str">
        <f>FIXED(C16*65%)</f>
        <v>748,26</v>
      </c>
      <c r="D5" s="7">
        <f>D16*65%</f>
        <v>845.30550000000005</v>
      </c>
      <c r="E5" s="7"/>
      <c r="F5" s="8">
        <f>C5+D5+E5</f>
        <v>1593.5655000000002</v>
      </c>
      <c r="G5" s="7">
        <f>G4*65%+D5</f>
        <v>1307.0395000000001</v>
      </c>
      <c r="H5" s="6" t="s">
        <v>84</v>
      </c>
    </row>
    <row r="6" spans="1:8" x14ac:dyDescent="0.25">
      <c r="A6" s="37" t="s">
        <v>85</v>
      </c>
      <c r="B6" s="8"/>
      <c r="C6" s="6"/>
      <c r="D6" s="7"/>
      <c r="E6" s="7"/>
      <c r="F6" s="8"/>
      <c r="G6" s="7"/>
      <c r="H6" s="7"/>
    </row>
    <row r="7" spans="1:8" x14ac:dyDescent="0.25">
      <c r="A7" s="34" t="s">
        <v>86</v>
      </c>
      <c r="B7" s="8" t="s">
        <v>66</v>
      </c>
      <c r="C7" s="6" t="str">
        <f>C5</f>
        <v>748,26</v>
      </c>
      <c r="D7" s="7">
        <f>D16*65%</f>
        <v>845.30550000000005</v>
      </c>
      <c r="E7" s="7">
        <f>F16*2%</f>
        <v>49.032800000000009</v>
      </c>
      <c r="F7" s="8">
        <f>C7+D7+E7</f>
        <v>1642.5983000000001</v>
      </c>
      <c r="G7" s="7">
        <f>G4*65%+D7+E7</f>
        <v>1356.0723</v>
      </c>
      <c r="H7" s="6" t="s">
        <v>87</v>
      </c>
    </row>
    <row r="8" spans="1:8" x14ac:dyDescent="0.25">
      <c r="A8" s="34"/>
      <c r="B8" s="8"/>
      <c r="C8" s="6"/>
      <c r="D8" s="7"/>
      <c r="E8" s="7"/>
      <c r="F8" s="8"/>
      <c r="G8" s="7"/>
      <c r="H8" s="6"/>
    </row>
    <row r="9" spans="1:8" x14ac:dyDescent="0.25">
      <c r="A9" s="34" t="s">
        <v>88</v>
      </c>
      <c r="B9" s="8" t="s">
        <v>66</v>
      </c>
      <c r="C9" s="6" t="str">
        <f>C5</f>
        <v>748,26</v>
      </c>
      <c r="D9" s="7">
        <f>D16*65%</f>
        <v>845.30550000000005</v>
      </c>
      <c r="E9" s="6" t="str">
        <f>FIXED(F16*5%)</f>
        <v>122,58</v>
      </c>
      <c r="F9" s="8">
        <f>C9+D9+E9</f>
        <v>1716.1455000000001</v>
      </c>
      <c r="G9" s="7">
        <f>G4*65%+D9+E9</f>
        <v>1429.6195</v>
      </c>
      <c r="H9" s="6" t="s">
        <v>89</v>
      </c>
    </row>
    <row r="10" spans="1:8" x14ac:dyDescent="0.25">
      <c r="A10" s="34"/>
      <c r="B10" s="8"/>
      <c r="C10" s="7"/>
      <c r="D10" s="7"/>
      <c r="E10" s="7"/>
      <c r="F10" s="8"/>
      <c r="G10" s="7"/>
      <c r="H10" s="6"/>
    </row>
    <row r="11" spans="1:8" x14ac:dyDescent="0.25">
      <c r="A11" s="7"/>
      <c r="B11" s="8"/>
      <c r="C11" s="7"/>
      <c r="D11" s="7"/>
      <c r="E11" s="7"/>
      <c r="F11" s="8"/>
      <c r="G11" s="7"/>
      <c r="H11" s="7"/>
    </row>
    <row r="12" spans="1:8" x14ac:dyDescent="0.25">
      <c r="A12" s="34" t="s">
        <v>90</v>
      </c>
      <c r="B12" s="8" t="s">
        <v>66</v>
      </c>
      <c r="C12" s="7">
        <f>C16*90%</f>
        <v>1036.0530000000001</v>
      </c>
      <c r="D12" s="7">
        <f>D16*90%</f>
        <v>1170.423</v>
      </c>
      <c r="E12" s="7"/>
      <c r="F12" s="8">
        <f>C12+D12+E12</f>
        <v>2206.4760000000001</v>
      </c>
      <c r="G12" s="7">
        <f>G4*90%+D12</f>
        <v>1809.7470000000001</v>
      </c>
      <c r="H12" s="6" t="s">
        <v>91</v>
      </c>
    </row>
    <row r="13" spans="1:8" x14ac:dyDescent="0.25">
      <c r="A13" s="37" t="s">
        <v>92</v>
      </c>
      <c r="B13" s="8"/>
      <c r="C13" s="7"/>
      <c r="D13" s="7"/>
      <c r="E13" s="7"/>
      <c r="F13" s="8"/>
      <c r="G13" s="7"/>
      <c r="H13" s="7"/>
    </row>
    <row r="14" spans="1:8" x14ac:dyDescent="0.25">
      <c r="A14" s="7"/>
      <c r="B14" s="8"/>
      <c r="C14" s="7"/>
      <c r="D14" s="7"/>
      <c r="E14" s="7"/>
      <c r="F14" s="8"/>
      <c r="G14" s="7"/>
      <c r="H14" s="7"/>
    </row>
    <row r="15" spans="1:8" x14ac:dyDescent="0.25">
      <c r="A15" s="7"/>
      <c r="B15" s="8"/>
      <c r="C15" s="7"/>
      <c r="D15" s="7"/>
      <c r="E15" s="7"/>
      <c r="F15" s="8"/>
      <c r="G15" s="7"/>
      <c r="H15" s="7"/>
    </row>
    <row r="16" spans="1:8" x14ac:dyDescent="0.25">
      <c r="A16" s="34" t="s">
        <v>93</v>
      </c>
      <c r="B16" s="8" t="s">
        <v>66</v>
      </c>
      <c r="C16" s="7">
        <v>1151.17</v>
      </c>
      <c r="D16" s="7">
        <v>1300.47</v>
      </c>
      <c r="E16" s="7"/>
      <c r="F16" s="8">
        <f>C16+D16+E16</f>
        <v>2451.6400000000003</v>
      </c>
      <c r="G16" s="7">
        <f>G4+D16</f>
        <v>2010.83</v>
      </c>
      <c r="H16" s="6" t="s">
        <v>94</v>
      </c>
    </row>
    <row r="17" spans="1:8" x14ac:dyDescent="0.25">
      <c r="A17" s="37" t="s">
        <v>95</v>
      </c>
      <c r="B17" s="8"/>
      <c r="C17" s="7"/>
      <c r="D17" s="7"/>
      <c r="E17" s="7"/>
      <c r="F17" s="8"/>
      <c r="G17" s="7"/>
      <c r="H17" s="7"/>
    </row>
    <row r="18" spans="1:8" x14ac:dyDescent="0.25">
      <c r="A18" s="7"/>
      <c r="B18" s="8"/>
      <c r="C18" s="7"/>
      <c r="D18" s="7"/>
      <c r="E18" s="7"/>
      <c r="F18" s="8"/>
      <c r="G18" s="7"/>
      <c r="H18" s="7"/>
    </row>
    <row r="19" spans="1:8" x14ac:dyDescent="0.25">
      <c r="A19" s="7"/>
      <c r="B19" s="8"/>
      <c r="C19" s="7"/>
      <c r="D19" s="7"/>
      <c r="E19" s="7"/>
      <c r="F19" s="8"/>
      <c r="G19" s="7"/>
      <c r="H19" s="7"/>
    </row>
    <row r="20" spans="1:8" x14ac:dyDescent="0.25">
      <c r="A20" s="34" t="s">
        <v>96</v>
      </c>
      <c r="B20" s="8" t="s">
        <v>66</v>
      </c>
      <c r="C20" s="6" t="str">
        <f>FIXED(C16*85%)</f>
        <v>978,49</v>
      </c>
      <c r="D20" s="6" t="str">
        <f>FIXED(D16*85%)</f>
        <v>1.105,40</v>
      </c>
      <c r="E20" s="6"/>
      <c r="F20" s="8">
        <f>C20+D20+E20</f>
        <v>2083.8900000000003</v>
      </c>
      <c r="G20" s="7">
        <f>698.13*85%+D20</f>
        <v>1698.8105</v>
      </c>
      <c r="H20" s="6" t="s">
        <v>97</v>
      </c>
    </row>
    <row r="21" spans="1:8" x14ac:dyDescent="0.25">
      <c r="A21" s="37" t="s">
        <v>98</v>
      </c>
      <c r="B21" s="8"/>
      <c r="C21" s="6"/>
      <c r="D21" s="6"/>
      <c r="E21" s="6"/>
      <c r="F21" s="8"/>
      <c r="G21" s="7"/>
      <c r="H21" s="7"/>
    </row>
    <row r="22" spans="1:8" x14ac:dyDescent="0.25">
      <c r="A22" s="34" t="s">
        <v>99</v>
      </c>
      <c r="B22" s="8" t="s">
        <v>66</v>
      </c>
      <c r="C22" s="6" t="str">
        <f>FIXED(C16*85%)</f>
        <v>978,49</v>
      </c>
      <c r="D22" s="6" t="str">
        <f>FIXED(D16*85%)</f>
        <v>1.105,40</v>
      </c>
      <c r="E22" s="6">
        <f>E7</f>
        <v>49.032800000000009</v>
      </c>
      <c r="F22" s="8">
        <f>C22+D22+E22</f>
        <v>2132.9228000000003</v>
      </c>
      <c r="G22" s="7">
        <f>G4*85%+D22+E22</f>
        <v>1758.2388000000001</v>
      </c>
      <c r="H22" s="6" t="s">
        <v>100</v>
      </c>
    </row>
    <row r="23" spans="1:8" x14ac:dyDescent="0.25">
      <c r="A23" s="34"/>
      <c r="B23" s="8"/>
      <c r="C23" s="6"/>
      <c r="D23" s="6"/>
      <c r="E23" s="6"/>
      <c r="F23" s="8"/>
      <c r="G23" s="7"/>
      <c r="H23" s="7"/>
    </row>
    <row r="24" spans="1:8" x14ac:dyDescent="0.25">
      <c r="A24" s="34" t="s">
        <v>101</v>
      </c>
      <c r="B24" s="8" t="s">
        <v>66</v>
      </c>
      <c r="C24" s="6" t="str">
        <f>FIXED(C16*85%)</f>
        <v>978,49</v>
      </c>
      <c r="D24" s="6" t="str">
        <f>FIXED(D16*85%)</f>
        <v>1.105,40</v>
      </c>
      <c r="E24" s="6" t="str">
        <f>E9</f>
        <v>122,58</v>
      </c>
      <c r="F24" s="8">
        <f>C24+D24+E24</f>
        <v>2206.4700000000003</v>
      </c>
      <c r="G24" s="7">
        <f>G4*85%+D24+E24</f>
        <v>1831.7860000000001</v>
      </c>
      <c r="H24" s="6" t="s">
        <v>102</v>
      </c>
    </row>
    <row r="25" spans="1:8" x14ac:dyDescent="0.25">
      <c r="A25" s="34"/>
      <c r="B25" s="8"/>
      <c r="C25" s="6"/>
      <c r="D25" s="6"/>
      <c r="E25" s="6"/>
      <c r="F25" s="8"/>
      <c r="G25" s="7"/>
      <c r="H25" s="7"/>
    </row>
    <row r="26" spans="1:8" x14ac:dyDescent="0.25">
      <c r="A26" s="34" t="s">
        <v>103</v>
      </c>
      <c r="B26" s="8" t="s">
        <v>66</v>
      </c>
      <c r="C26" s="6">
        <v>920.89</v>
      </c>
      <c r="D26" s="6">
        <v>620.14</v>
      </c>
      <c r="E26" s="6"/>
      <c r="F26" s="8">
        <f>C26+D26+E26</f>
        <v>1541.03</v>
      </c>
      <c r="G26" s="7">
        <f>C26+D26+E26</f>
        <v>1541.03</v>
      </c>
      <c r="H26" s="7"/>
    </row>
    <row r="27" spans="1:8" x14ac:dyDescent="0.25">
      <c r="A27" s="34" t="s">
        <v>104</v>
      </c>
      <c r="B27" s="8" t="s">
        <v>66</v>
      </c>
      <c r="C27" s="6">
        <f>C26</f>
        <v>920.89</v>
      </c>
      <c r="D27" s="6">
        <v>956.08</v>
      </c>
      <c r="E27" s="6"/>
      <c r="F27" s="8">
        <f>C27+D27+E27</f>
        <v>1876.97</v>
      </c>
      <c r="G27" s="7">
        <f>C27+D27+E27</f>
        <v>1876.97</v>
      </c>
      <c r="H27" s="7"/>
    </row>
    <row r="28" spans="1:8" x14ac:dyDescent="0.25">
      <c r="A28" s="37"/>
      <c r="B28" s="8"/>
      <c r="C28" s="6"/>
      <c r="D28" s="6"/>
      <c r="E28" s="6"/>
      <c r="F28" s="8"/>
      <c r="G28" s="7"/>
      <c r="H28" s="7"/>
    </row>
    <row r="29" spans="1:8" ht="15.75" x14ac:dyDescent="0.25">
      <c r="A29" s="34" t="s">
        <v>105</v>
      </c>
      <c r="B29" s="38" t="s">
        <v>66</v>
      </c>
      <c r="C29" s="6" t="str">
        <f>FIXED(C16*60%)</f>
        <v>690,70</v>
      </c>
      <c r="D29" s="6" t="str">
        <f>FIXED(D16*60%)</f>
        <v>780,28</v>
      </c>
      <c r="E29" s="6"/>
      <c r="F29" s="8">
        <f>C29+D29</f>
        <v>1470.98</v>
      </c>
      <c r="G29" s="7">
        <f>G4*60%+D29</f>
        <v>1206.4960000000001</v>
      </c>
      <c r="H29" s="6" t="s">
        <v>106</v>
      </c>
    </row>
    <row r="30" spans="1:8" ht="15.75" x14ac:dyDescent="0.25">
      <c r="A30" s="37" t="s">
        <v>107</v>
      </c>
      <c r="B30" s="38"/>
      <c r="C30" s="6"/>
      <c r="D30" s="6"/>
      <c r="E30" s="6"/>
      <c r="F30" s="8"/>
      <c r="G30" s="7"/>
      <c r="H30" s="7"/>
    </row>
    <row r="31" spans="1:8" ht="15.75" x14ac:dyDescent="0.25">
      <c r="A31" s="34" t="s">
        <v>45</v>
      </c>
      <c r="B31" s="38" t="s">
        <v>4</v>
      </c>
      <c r="C31" s="6" t="str">
        <f>FIXED(C16*30%)</f>
        <v>345,35</v>
      </c>
      <c r="D31" s="6" t="str">
        <f>FIXED(D16*30%)</f>
        <v>390,14</v>
      </c>
      <c r="E31" s="6"/>
      <c r="F31" s="8">
        <f>C31+D31+E31</f>
        <v>735.49</v>
      </c>
      <c r="G31" s="7">
        <f>G4*30%+D31</f>
        <v>603.24800000000005</v>
      </c>
      <c r="H31" s="6" t="s">
        <v>108</v>
      </c>
    </row>
    <row r="32" spans="1:8" ht="15.75" x14ac:dyDescent="0.25">
      <c r="A32" s="37" t="s">
        <v>46</v>
      </c>
      <c r="B32" s="38" t="s">
        <v>7</v>
      </c>
      <c r="C32" s="6" t="str">
        <f>FIXED(C16*25%)</f>
        <v>287,79</v>
      </c>
      <c r="D32" s="6" t="str">
        <f>FIXED(D16*25%)</f>
        <v>325,12</v>
      </c>
      <c r="E32" s="6"/>
      <c r="F32" s="8">
        <f>C32+D32+E32</f>
        <v>612.91000000000008</v>
      </c>
      <c r="G32" s="7">
        <f>G4*25%+D32</f>
        <v>502.71000000000004</v>
      </c>
      <c r="H32" s="6" t="s">
        <v>109</v>
      </c>
    </row>
    <row r="33" spans="1:8" ht="15.75" x14ac:dyDescent="0.25">
      <c r="A33" s="34"/>
      <c r="B33" s="38" t="s">
        <v>8</v>
      </c>
      <c r="C33" s="6" t="str">
        <f>FIXED(C16*20%)</f>
        <v>230,23</v>
      </c>
      <c r="D33" s="6" t="str">
        <f>FIXED(D16*20%)</f>
        <v>260,09</v>
      </c>
      <c r="E33" s="6"/>
      <c r="F33" s="8">
        <f>C33+D33+E33</f>
        <v>490.31999999999994</v>
      </c>
      <c r="G33" s="7">
        <f>G4*20%+D33</f>
        <v>402.16199999999998</v>
      </c>
      <c r="H33" s="6" t="s">
        <v>110</v>
      </c>
    </row>
    <row r="34" spans="1:8" ht="15.75" x14ac:dyDescent="0.25">
      <c r="A34" s="34"/>
      <c r="B34" s="38" t="s">
        <v>9</v>
      </c>
      <c r="C34" s="6" t="str">
        <f>FIXED(C16*15%)</f>
        <v>172,68</v>
      </c>
      <c r="D34" s="6" t="str">
        <f>FIXED(D16*15%)</f>
        <v>195,07</v>
      </c>
      <c r="E34" s="6"/>
      <c r="F34" s="8">
        <f>C34+D34+E34</f>
        <v>367.75</v>
      </c>
      <c r="G34" s="7">
        <f>G4*15%+D34</f>
        <v>301.62400000000002</v>
      </c>
      <c r="H34" s="6" t="s">
        <v>111</v>
      </c>
    </row>
    <row r="35" spans="1:8" ht="15.75" x14ac:dyDescent="0.25">
      <c r="A35" s="7"/>
      <c r="B35" s="38" t="s">
        <v>10</v>
      </c>
      <c r="C35" s="6" t="str">
        <f>FIXED(C16*10%)</f>
        <v>115,12</v>
      </c>
      <c r="D35" s="6" t="str">
        <f>FIXED(D16*10%)</f>
        <v>130,05</v>
      </c>
      <c r="E35" s="7"/>
      <c r="F35" s="8">
        <f>C35+D35+E35</f>
        <v>245.17000000000002</v>
      </c>
      <c r="G35" s="7">
        <f>G4*10%+D35</f>
        <v>201.08600000000001</v>
      </c>
      <c r="H35" s="6" t="s">
        <v>112</v>
      </c>
    </row>
    <row r="36" spans="1:8" ht="15.75" x14ac:dyDescent="0.25">
      <c r="A36" s="7"/>
      <c r="B36" s="38"/>
      <c r="C36" s="6"/>
      <c r="D36" s="6"/>
      <c r="E36" s="7"/>
      <c r="F36" s="8"/>
      <c r="G36" s="7"/>
      <c r="H36" s="6"/>
    </row>
    <row r="37" spans="1:8" x14ac:dyDescent="0.25">
      <c r="A37" s="34" t="s">
        <v>113</v>
      </c>
      <c r="B37" s="8"/>
      <c r="C37" s="6">
        <v>276.82</v>
      </c>
      <c r="D37" s="7"/>
      <c r="E37" s="7"/>
      <c r="F37" s="8"/>
      <c r="G37" s="7"/>
      <c r="H37" s="6"/>
    </row>
    <row r="38" spans="1:8" x14ac:dyDescent="0.25">
      <c r="A38" s="37" t="s">
        <v>114</v>
      </c>
      <c r="B38" s="7"/>
      <c r="C38" s="7"/>
      <c r="D38" s="7"/>
      <c r="E38" s="7"/>
      <c r="F38" s="8"/>
      <c r="G38" s="7"/>
      <c r="H38" s="7"/>
    </row>
  </sheetData>
  <sheetProtection password="CAB1" sheet="1" objects="1" scenarios="1"/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D17" sqref="D17"/>
    </sheetView>
  </sheetViews>
  <sheetFormatPr baseColWidth="10" defaultColWidth="9.140625" defaultRowHeight="15" x14ac:dyDescent="0.25"/>
  <cols>
    <col min="1" max="1" width="27.28515625" bestFit="1" customWidth="1"/>
    <col min="2" max="2" width="14.42578125" bestFit="1" customWidth="1"/>
    <col min="3" max="3" width="68.42578125" customWidth="1"/>
  </cols>
  <sheetData>
    <row r="1" spans="1:3" ht="36" customHeight="1" x14ac:dyDescent="0.25">
      <c r="A1" s="88" t="s">
        <v>116</v>
      </c>
      <c r="B1" s="77"/>
      <c r="C1" s="77"/>
    </row>
    <row r="2" spans="1:3" x14ac:dyDescent="0.25">
      <c r="A2" s="1"/>
      <c r="B2" s="1"/>
      <c r="C2" s="1"/>
    </row>
    <row r="3" spans="1:3" x14ac:dyDescent="0.25">
      <c r="A3" s="2" t="s">
        <v>0</v>
      </c>
      <c r="B3" s="3" t="s">
        <v>1</v>
      </c>
      <c r="C3" s="2" t="s">
        <v>11</v>
      </c>
    </row>
    <row r="4" spans="1:3" x14ac:dyDescent="0.25">
      <c r="A4" s="3" t="s">
        <v>2</v>
      </c>
      <c r="B4" s="3"/>
      <c r="C4" s="2" t="s">
        <v>3</v>
      </c>
    </row>
    <row r="5" spans="1:3" ht="15.75" x14ac:dyDescent="0.25">
      <c r="A5" s="4"/>
      <c r="B5" s="5" t="s">
        <v>4</v>
      </c>
      <c r="C5" s="7"/>
    </row>
    <row r="6" spans="1:3" ht="15.75" x14ac:dyDescent="0.25">
      <c r="A6" s="9" t="s">
        <v>5</v>
      </c>
      <c r="B6" s="2"/>
      <c r="C6" s="7">
        <v>21.2454</v>
      </c>
    </row>
    <row r="7" spans="1:3" ht="15.75" x14ac:dyDescent="0.25">
      <c r="A7" s="9" t="s">
        <v>6</v>
      </c>
      <c r="B7" s="2"/>
      <c r="C7" s="7">
        <v>53.103324999999998</v>
      </c>
    </row>
    <row r="8" spans="1:3" x14ac:dyDescent="0.25">
      <c r="A8" s="4"/>
      <c r="B8" s="2"/>
      <c r="C8" s="7"/>
    </row>
    <row r="9" spans="1:3" ht="15.75" x14ac:dyDescent="0.25">
      <c r="A9" s="4"/>
      <c r="B9" s="5" t="s">
        <v>7</v>
      </c>
      <c r="C9" s="7"/>
    </row>
    <row r="10" spans="1:3" ht="15.75" x14ac:dyDescent="0.25">
      <c r="A10" s="9" t="s">
        <v>5</v>
      </c>
      <c r="B10" s="2"/>
      <c r="C10" s="7">
        <v>17.704499999999999</v>
      </c>
    </row>
    <row r="11" spans="1:3" ht="15.75" x14ac:dyDescent="0.25">
      <c r="A11" s="9" t="s">
        <v>6</v>
      </c>
      <c r="B11" s="2"/>
      <c r="C11" s="7">
        <v>44.251075</v>
      </c>
    </row>
    <row r="12" spans="1:3" x14ac:dyDescent="0.25">
      <c r="A12" s="4"/>
      <c r="B12" s="2"/>
      <c r="C12" s="7"/>
    </row>
    <row r="13" spans="1:3" ht="15.75" x14ac:dyDescent="0.25">
      <c r="A13" s="10"/>
      <c r="B13" s="5" t="s">
        <v>8</v>
      </c>
      <c r="C13" s="7"/>
    </row>
    <row r="14" spans="1:3" ht="15.75" x14ac:dyDescent="0.25">
      <c r="A14" s="9" t="s">
        <v>5</v>
      </c>
      <c r="B14" s="2"/>
      <c r="C14" s="7">
        <v>14.163600000000001</v>
      </c>
    </row>
    <row r="15" spans="1:3" ht="15.75" x14ac:dyDescent="0.25">
      <c r="A15" s="9" t="s">
        <v>6</v>
      </c>
      <c r="B15" s="2"/>
      <c r="C15" s="7">
        <v>35.398825000000002</v>
      </c>
    </row>
    <row r="16" spans="1:3" x14ac:dyDescent="0.25">
      <c r="A16" s="4"/>
      <c r="B16" s="2"/>
      <c r="C16" s="7"/>
    </row>
    <row r="17" spans="1:3" ht="15.75" x14ac:dyDescent="0.25">
      <c r="A17" s="10"/>
      <c r="B17" s="5" t="s">
        <v>9</v>
      </c>
      <c r="C17" s="7"/>
    </row>
    <row r="18" spans="1:3" ht="15.75" x14ac:dyDescent="0.25">
      <c r="A18" s="9" t="s">
        <v>5</v>
      </c>
      <c r="B18" s="2"/>
      <c r="C18" s="7">
        <v>10.6227</v>
      </c>
    </row>
    <row r="19" spans="1:3" ht="15.75" x14ac:dyDescent="0.25">
      <c r="A19" s="9" t="s">
        <v>6</v>
      </c>
      <c r="B19" s="2"/>
      <c r="C19" s="7">
        <v>26.556750000000001</v>
      </c>
    </row>
    <row r="20" spans="1:3" x14ac:dyDescent="0.25">
      <c r="A20" s="4"/>
      <c r="B20" s="2"/>
      <c r="C20" s="7"/>
    </row>
    <row r="21" spans="1:3" ht="15.75" x14ac:dyDescent="0.25">
      <c r="A21" s="10"/>
      <c r="B21" s="5" t="s">
        <v>10</v>
      </c>
      <c r="C21" s="7"/>
    </row>
    <row r="22" spans="1:3" ht="15.75" x14ac:dyDescent="0.25">
      <c r="A22" s="9" t="s">
        <v>5</v>
      </c>
      <c r="B22" s="2"/>
      <c r="C22" s="7">
        <v>7.0818000000000003</v>
      </c>
    </row>
    <row r="23" spans="1:3" ht="15.75" x14ac:dyDescent="0.25">
      <c r="A23" s="9" t="s">
        <v>6</v>
      </c>
      <c r="B23" s="2"/>
      <c r="C23" s="7">
        <v>17.704499999999999</v>
      </c>
    </row>
  </sheetData>
  <sheetProtection password="CAB1" sheet="1" objects="1" scenarios="1"/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6" x14ac:dyDescent="0.25">
      <c r="A1" s="89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1"/>
      <c r="N1" s="19"/>
      <c r="O1" s="19"/>
      <c r="P1" s="19"/>
    </row>
    <row r="2" spans="1:16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 s="19"/>
      <c r="B3" s="19"/>
      <c r="C3" s="19"/>
      <c r="D3" s="23">
        <v>1</v>
      </c>
      <c r="E3" s="23">
        <v>2</v>
      </c>
      <c r="F3" s="23">
        <v>3</v>
      </c>
      <c r="G3" s="23">
        <v>4</v>
      </c>
      <c r="H3" s="23">
        <v>5</v>
      </c>
      <c r="I3" s="23">
        <v>6</v>
      </c>
      <c r="J3" s="23">
        <v>7</v>
      </c>
      <c r="K3" s="23">
        <v>8</v>
      </c>
      <c r="L3" s="23">
        <v>9</v>
      </c>
      <c r="M3" s="23">
        <v>10</v>
      </c>
      <c r="N3" s="23">
        <v>11</v>
      </c>
      <c r="O3" s="23">
        <v>12</v>
      </c>
      <c r="P3" s="23">
        <v>13</v>
      </c>
    </row>
    <row r="4" spans="1:16" x14ac:dyDescent="0.25">
      <c r="A4" s="92" t="s">
        <v>45</v>
      </c>
      <c r="B4" s="92"/>
      <c r="C4" s="23" t="s">
        <v>4</v>
      </c>
      <c r="D4" s="24">
        <v>13.28</v>
      </c>
      <c r="E4" s="25">
        <f>$D$4*E3</f>
        <v>26.56</v>
      </c>
      <c r="F4" s="25">
        <f t="shared" ref="F4:P4" si="0">$D$4*F3</f>
        <v>39.839999999999996</v>
      </c>
      <c r="G4" s="25">
        <f t="shared" si="0"/>
        <v>53.12</v>
      </c>
      <c r="H4" s="25">
        <f t="shared" si="0"/>
        <v>66.399999999999991</v>
      </c>
      <c r="I4" s="25">
        <f t="shared" si="0"/>
        <v>79.679999999999993</v>
      </c>
      <c r="J4" s="25">
        <f t="shared" si="0"/>
        <v>92.96</v>
      </c>
      <c r="K4" s="25">
        <f t="shared" si="0"/>
        <v>106.24</v>
      </c>
      <c r="L4" s="25">
        <f t="shared" si="0"/>
        <v>119.52</v>
      </c>
      <c r="M4" s="25">
        <f t="shared" si="0"/>
        <v>132.79999999999998</v>
      </c>
      <c r="N4" s="25">
        <f t="shared" si="0"/>
        <v>146.07999999999998</v>
      </c>
      <c r="O4" s="25">
        <f t="shared" si="0"/>
        <v>159.35999999999999</v>
      </c>
      <c r="P4" s="25">
        <f t="shared" si="0"/>
        <v>172.64</v>
      </c>
    </row>
    <row r="5" spans="1:16" x14ac:dyDescent="0.25">
      <c r="A5" s="76" t="s">
        <v>46</v>
      </c>
      <c r="B5" s="78"/>
      <c r="C5" s="23" t="s">
        <v>7</v>
      </c>
      <c r="D5" s="24">
        <v>11.07</v>
      </c>
      <c r="E5" s="25">
        <f>$D$5*E3</f>
        <v>22.14</v>
      </c>
      <c r="F5" s="25">
        <f t="shared" ref="F5:P5" si="1">$D$5*F3</f>
        <v>33.21</v>
      </c>
      <c r="G5" s="25">
        <f t="shared" si="1"/>
        <v>44.28</v>
      </c>
      <c r="H5" s="25">
        <f t="shared" si="1"/>
        <v>55.35</v>
      </c>
      <c r="I5" s="25">
        <f t="shared" si="1"/>
        <v>66.42</v>
      </c>
      <c r="J5" s="25">
        <f t="shared" si="1"/>
        <v>77.490000000000009</v>
      </c>
      <c r="K5" s="25">
        <f t="shared" si="1"/>
        <v>88.56</v>
      </c>
      <c r="L5" s="25">
        <f t="shared" si="1"/>
        <v>99.63</v>
      </c>
      <c r="M5" s="25">
        <f t="shared" si="1"/>
        <v>110.7</v>
      </c>
      <c r="N5" s="25">
        <f t="shared" si="1"/>
        <v>121.77000000000001</v>
      </c>
      <c r="O5" s="25">
        <f t="shared" si="1"/>
        <v>132.84</v>
      </c>
      <c r="P5" s="25">
        <f t="shared" si="1"/>
        <v>143.91</v>
      </c>
    </row>
    <row r="6" spans="1:16" x14ac:dyDescent="0.25">
      <c r="A6" s="19"/>
      <c r="B6" s="19"/>
      <c r="C6" s="23" t="s">
        <v>8</v>
      </c>
      <c r="D6" s="24">
        <v>8.85</v>
      </c>
      <c r="E6" s="25">
        <f>$D$6*E3</f>
        <v>17.7</v>
      </c>
      <c r="F6" s="25">
        <f t="shared" ref="F6:P6" si="2">$D$6*F3</f>
        <v>26.549999999999997</v>
      </c>
      <c r="G6" s="25">
        <f t="shared" si="2"/>
        <v>35.4</v>
      </c>
      <c r="H6" s="25">
        <f t="shared" si="2"/>
        <v>44.25</v>
      </c>
      <c r="I6" s="25">
        <f t="shared" si="2"/>
        <v>53.099999999999994</v>
      </c>
      <c r="J6" s="25">
        <f t="shared" si="2"/>
        <v>61.949999999999996</v>
      </c>
      <c r="K6" s="25">
        <f t="shared" si="2"/>
        <v>70.8</v>
      </c>
      <c r="L6" s="25">
        <f t="shared" si="2"/>
        <v>79.649999999999991</v>
      </c>
      <c r="M6" s="25">
        <f t="shared" si="2"/>
        <v>88.5</v>
      </c>
      <c r="N6" s="25">
        <f t="shared" si="2"/>
        <v>97.35</v>
      </c>
      <c r="O6" s="25">
        <f t="shared" si="2"/>
        <v>106.19999999999999</v>
      </c>
      <c r="P6" s="25">
        <f t="shared" si="2"/>
        <v>115.05</v>
      </c>
    </row>
    <row r="7" spans="1:16" x14ac:dyDescent="0.25">
      <c r="A7" s="19"/>
      <c r="B7" s="19"/>
      <c r="C7" s="23" t="s">
        <v>9</v>
      </c>
      <c r="D7" s="24">
        <v>6.64</v>
      </c>
      <c r="E7" s="25">
        <f>$D$7*E3</f>
        <v>13.28</v>
      </c>
      <c r="F7" s="25">
        <f t="shared" ref="F7:P7" si="3">$D$7*F3</f>
        <v>19.919999999999998</v>
      </c>
      <c r="G7" s="25">
        <f t="shared" si="3"/>
        <v>26.56</v>
      </c>
      <c r="H7" s="25">
        <f t="shared" si="3"/>
        <v>33.199999999999996</v>
      </c>
      <c r="I7" s="25">
        <f t="shared" si="3"/>
        <v>39.839999999999996</v>
      </c>
      <c r="J7" s="25">
        <f t="shared" si="3"/>
        <v>46.48</v>
      </c>
      <c r="K7" s="25">
        <f t="shared" si="3"/>
        <v>53.12</v>
      </c>
      <c r="L7" s="25">
        <f t="shared" si="3"/>
        <v>59.76</v>
      </c>
      <c r="M7" s="25">
        <f t="shared" si="3"/>
        <v>66.399999999999991</v>
      </c>
      <c r="N7" s="25">
        <f t="shared" si="3"/>
        <v>73.039999999999992</v>
      </c>
      <c r="O7" s="25">
        <f t="shared" si="3"/>
        <v>79.679999999999993</v>
      </c>
      <c r="P7" s="25">
        <f t="shared" si="3"/>
        <v>86.32</v>
      </c>
    </row>
    <row r="8" spans="1:16" x14ac:dyDescent="0.25">
      <c r="A8" s="19"/>
      <c r="B8" s="19"/>
      <c r="C8" s="23" t="s">
        <v>10</v>
      </c>
      <c r="D8" s="24">
        <v>4.43</v>
      </c>
      <c r="E8" s="25">
        <f>$D$8*E3</f>
        <v>8.86</v>
      </c>
      <c r="F8" s="25">
        <f t="shared" ref="F8:P8" si="4">$D$8*F3</f>
        <v>13.29</v>
      </c>
      <c r="G8" s="25">
        <f t="shared" si="4"/>
        <v>17.72</v>
      </c>
      <c r="H8" s="25">
        <f t="shared" si="4"/>
        <v>22.15</v>
      </c>
      <c r="I8" s="25">
        <f t="shared" si="4"/>
        <v>26.58</v>
      </c>
      <c r="J8" s="25">
        <f t="shared" si="4"/>
        <v>31.009999999999998</v>
      </c>
      <c r="K8" s="25">
        <f t="shared" si="4"/>
        <v>35.44</v>
      </c>
      <c r="L8" s="25">
        <f t="shared" si="4"/>
        <v>39.869999999999997</v>
      </c>
      <c r="M8" s="25">
        <f t="shared" si="4"/>
        <v>44.3</v>
      </c>
      <c r="N8" s="25">
        <f t="shared" si="4"/>
        <v>48.73</v>
      </c>
      <c r="O8" s="25">
        <f t="shared" si="4"/>
        <v>53.16</v>
      </c>
      <c r="P8" s="25">
        <f t="shared" si="4"/>
        <v>57.589999999999996</v>
      </c>
    </row>
    <row r="9" spans="1:16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x14ac:dyDescent="0.25">
      <c r="A12" s="26" t="s">
        <v>47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8"/>
      <c r="N12" s="19"/>
      <c r="O12" s="19"/>
      <c r="P12" s="19"/>
    </row>
    <row r="13" spans="1:16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x14ac:dyDescent="0.25">
      <c r="A14" s="19"/>
      <c r="B14" s="19"/>
      <c r="C14" s="19"/>
      <c r="D14" s="23">
        <v>1</v>
      </c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</row>
    <row r="15" spans="1:16" x14ac:dyDescent="0.25">
      <c r="A15" s="92" t="s">
        <v>45</v>
      </c>
      <c r="B15" s="92"/>
      <c r="C15" s="23" t="s">
        <v>4</v>
      </c>
      <c r="D15" s="20">
        <v>8.1999999999999993</v>
      </c>
      <c r="E15" s="25">
        <f>$D$15*E14</f>
        <v>16.399999999999999</v>
      </c>
      <c r="F15" s="25">
        <f t="shared" ref="F15:P15" si="5">$D$15*F14</f>
        <v>24.599999999999998</v>
      </c>
      <c r="G15" s="25">
        <f t="shared" si="5"/>
        <v>32.799999999999997</v>
      </c>
      <c r="H15" s="25">
        <f t="shared" si="5"/>
        <v>41</v>
      </c>
      <c r="I15" s="25">
        <f t="shared" si="5"/>
        <v>49.199999999999996</v>
      </c>
      <c r="J15" s="25">
        <f t="shared" si="5"/>
        <v>57.399999999999991</v>
      </c>
      <c r="K15" s="25">
        <f t="shared" si="5"/>
        <v>65.599999999999994</v>
      </c>
      <c r="L15" s="25">
        <f t="shared" si="5"/>
        <v>73.8</v>
      </c>
      <c r="M15" s="25">
        <f t="shared" si="5"/>
        <v>82</v>
      </c>
      <c r="N15" s="25">
        <f t="shared" si="5"/>
        <v>90.199999999999989</v>
      </c>
      <c r="O15" s="25">
        <f t="shared" si="5"/>
        <v>98.399999999999991</v>
      </c>
      <c r="P15" s="25">
        <f t="shared" si="5"/>
        <v>106.6</v>
      </c>
    </row>
    <row r="16" spans="1:16" x14ac:dyDescent="0.25">
      <c r="A16" s="76" t="s">
        <v>46</v>
      </c>
      <c r="B16" s="78"/>
      <c r="C16" s="23" t="s">
        <v>7</v>
      </c>
      <c r="D16" s="20">
        <v>6.83</v>
      </c>
      <c r="E16" s="25">
        <f>$D$16*E14</f>
        <v>13.66</v>
      </c>
      <c r="F16" s="25">
        <f t="shared" ref="F16:P16" si="6">$D$16*F14</f>
        <v>20.490000000000002</v>
      </c>
      <c r="G16" s="25">
        <f t="shared" si="6"/>
        <v>27.32</v>
      </c>
      <c r="H16" s="25">
        <f t="shared" si="6"/>
        <v>34.15</v>
      </c>
      <c r="I16" s="25">
        <f t="shared" si="6"/>
        <v>40.980000000000004</v>
      </c>
      <c r="J16" s="25">
        <f t="shared" si="6"/>
        <v>47.81</v>
      </c>
      <c r="K16" s="25">
        <f t="shared" si="6"/>
        <v>54.64</v>
      </c>
      <c r="L16" s="25">
        <f t="shared" si="6"/>
        <v>61.47</v>
      </c>
      <c r="M16" s="25">
        <f t="shared" si="6"/>
        <v>68.3</v>
      </c>
      <c r="N16" s="25">
        <f t="shared" si="6"/>
        <v>75.13</v>
      </c>
      <c r="O16" s="25">
        <f t="shared" si="6"/>
        <v>81.960000000000008</v>
      </c>
      <c r="P16" s="25">
        <f t="shared" si="6"/>
        <v>88.79</v>
      </c>
    </row>
    <row r="17" spans="1:16" x14ac:dyDescent="0.25">
      <c r="A17" s="19"/>
      <c r="B17" s="19"/>
      <c r="C17" s="23" t="s">
        <v>8</v>
      </c>
      <c r="D17" s="20">
        <v>5.46</v>
      </c>
      <c r="E17" s="25">
        <f>$D$17*E14</f>
        <v>10.92</v>
      </c>
      <c r="F17" s="25">
        <f t="shared" ref="F17:P17" si="7">$D$17*F14</f>
        <v>16.38</v>
      </c>
      <c r="G17" s="25">
        <f t="shared" si="7"/>
        <v>21.84</v>
      </c>
      <c r="H17" s="25">
        <f t="shared" si="7"/>
        <v>27.3</v>
      </c>
      <c r="I17" s="25">
        <f t="shared" si="7"/>
        <v>32.76</v>
      </c>
      <c r="J17" s="25">
        <f t="shared" si="7"/>
        <v>38.22</v>
      </c>
      <c r="K17" s="25">
        <f t="shared" si="7"/>
        <v>43.68</v>
      </c>
      <c r="L17" s="25">
        <f t="shared" si="7"/>
        <v>49.14</v>
      </c>
      <c r="M17" s="25">
        <f t="shared" si="7"/>
        <v>54.6</v>
      </c>
      <c r="N17" s="25">
        <f t="shared" si="7"/>
        <v>60.06</v>
      </c>
      <c r="O17" s="25">
        <f t="shared" si="7"/>
        <v>65.52</v>
      </c>
      <c r="P17" s="25">
        <f t="shared" si="7"/>
        <v>70.98</v>
      </c>
    </row>
    <row r="18" spans="1:16" x14ac:dyDescent="0.25">
      <c r="A18" s="19"/>
      <c r="B18" s="19"/>
      <c r="C18" s="23" t="s">
        <v>9</v>
      </c>
      <c r="D18" s="20">
        <v>4.0999999999999996</v>
      </c>
      <c r="E18" s="25">
        <f>$D$18*E14</f>
        <v>8.1999999999999993</v>
      </c>
      <c r="F18" s="25">
        <f t="shared" ref="F18:P18" si="8">$D$18*F14</f>
        <v>12.299999999999999</v>
      </c>
      <c r="G18" s="25">
        <f t="shared" si="8"/>
        <v>16.399999999999999</v>
      </c>
      <c r="H18" s="25">
        <f t="shared" si="8"/>
        <v>20.5</v>
      </c>
      <c r="I18" s="25">
        <f t="shared" si="8"/>
        <v>24.599999999999998</v>
      </c>
      <c r="J18" s="25">
        <f t="shared" si="8"/>
        <v>28.699999999999996</v>
      </c>
      <c r="K18" s="25">
        <f t="shared" si="8"/>
        <v>32.799999999999997</v>
      </c>
      <c r="L18" s="25">
        <f t="shared" si="8"/>
        <v>36.9</v>
      </c>
      <c r="M18" s="25">
        <f t="shared" si="8"/>
        <v>41</v>
      </c>
      <c r="N18" s="25">
        <f t="shared" si="8"/>
        <v>45.099999999999994</v>
      </c>
      <c r="O18" s="25">
        <f t="shared" si="8"/>
        <v>49.199999999999996</v>
      </c>
      <c r="P18" s="25">
        <f t="shared" si="8"/>
        <v>53.3</v>
      </c>
    </row>
    <row r="19" spans="1:16" x14ac:dyDescent="0.25">
      <c r="A19" s="19"/>
      <c r="B19" s="19"/>
      <c r="C19" s="23" t="s">
        <v>10</v>
      </c>
      <c r="D19" s="20">
        <v>2.73</v>
      </c>
      <c r="E19" s="25">
        <f>$D$19*E14</f>
        <v>5.46</v>
      </c>
      <c r="F19" s="25">
        <f t="shared" ref="F19:P19" si="9">$D$19*F14</f>
        <v>8.19</v>
      </c>
      <c r="G19" s="25">
        <f t="shared" si="9"/>
        <v>10.92</v>
      </c>
      <c r="H19" s="25">
        <f t="shared" si="9"/>
        <v>13.65</v>
      </c>
      <c r="I19" s="25">
        <f t="shared" si="9"/>
        <v>16.38</v>
      </c>
      <c r="J19" s="25">
        <f t="shared" si="9"/>
        <v>19.11</v>
      </c>
      <c r="K19" s="25">
        <f t="shared" si="9"/>
        <v>21.84</v>
      </c>
      <c r="L19" s="25">
        <f t="shared" si="9"/>
        <v>24.57</v>
      </c>
      <c r="M19" s="25">
        <f t="shared" si="9"/>
        <v>27.3</v>
      </c>
      <c r="N19" s="25">
        <f t="shared" si="9"/>
        <v>30.03</v>
      </c>
      <c r="O19" s="25">
        <f t="shared" si="9"/>
        <v>32.76</v>
      </c>
      <c r="P19" s="25">
        <f t="shared" si="9"/>
        <v>35.49</v>
      </c>
    </row>
    <row r="20" spans="1:16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</sheetData>
  <sheetProtection password="CAB1" sheet="1" objects="1" scenarios="1"/>
  <mergeCells count="5">
    <mergeCell ref="A1:M1"/>
    <mergeCell ref="A4:B4"/>
    <mergeCell ref="A5:B5"/>
    <mergeCell ref="A15:B15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PDI Funcionario e Interino</vt:lpstr>
      <vt:lpstr>Trienios</vt:lpstr>
      <vt:lpstr>Tramos</vt:lpstr>
      <vt:lpstr>Cargos académicos</vt:lpstr>
      <vt:lpstr>Plazas Vinculadas</vt:lpstr>
      <vt:lpstr>PDI Contratado LOU</vt:lpstr>
      <vt:lpstr>Doctorado Asociados</vt:lpstr>
      <vt:lpstr>Trienios T. Parcial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2018-11-09T11:27:47Z</dcterms:modified>
</cp:coreProperties>
</file>