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PDI Funcionario e Interino" sheetId="9" r:id="rId1"/>
    <sheet name="PDI Contratado LOU" sheetId="6" r:id="rId2"/>
  </sheets>
  <calcPr calcId="145621"/>
</workbook>
</file>

<file path=xl/calcChain.xml><?xml version="1.0" encoding="utf-8"?>
<calcChain xmlns="http://schemas.openxmlformats.org/spreadsheetml/2006/main">
  <c r="D9" i="6" l="1"/>
  <c r="D8" i="6"/>
  <c r="D7" i="6" l="1"/>
  <c r="D6" i="6"/>
  <c r="H16" i="9" l="1"/>
  <c r="H9" i="9"/>
  <c r="H2" i="9"/>
  <c r="C26" i="9"/>
  <c r="L6" i="9" l="1"/>
  <c r="L5" i="9"/>
  <c r="L4" i="9"/>
  <c r="L3" i="9"/>
  <c r="I6" i="9"/>
  <c r="I5" i="9"/>
  <c r="I4" i="9"/>
  <c r="I3" i="9"/>
  <c r="H20" i="9"/>
  <c r="H19" i="9"/>
  <c r="H18" i="9"/>
  <c r="H17" i="9"/>
  <c r="H13" i="9"/>
  <c r="H12" i="9"/>
  <c r="H11" i="9"/>
  <c r="H10" i="9"/>
  <c r="H6" i="9"/>
  <c r="H5" i="9"/>
  <c r="H4" i="9"/>
  <c r="H3" i="9"/>
  <c r="G6" i="9"/>
  <c r="G5" i="9"/>
  <c r="G4" i="9"/>
  <c r="G3" i="9"/>
  <c r="E20" i="9"/>
  <c r="E19" i="9"/>
  <c r="E18" i="9"/>
  <c r="E13" i="9"/>
  <c r="E12" i="9"/>
  <c r="E11" i="9"/>
  <c r="E6" i="9"/>
  <c r="E5" i="9"/>
  <c r="E4" i="9"/>
  <c r="D20" i="9"/>
  <c r="D19" i="9"/>
  <c r="D13" i="9"/>
  <c r="D12" i="9"/>
  <c r="D6" i="9"/>
  <c r="C6" i="9"/>
  <c r="D5" i="9"/>
  <c r="C5" i="9"/>
  <c r="C3" i="9"/>
  <c r="D18" i="9"/>
  <c r="D11" i="9"/>
  <c r="D4" i="9"/>
  <c r="C4" i="9"/>
  <c r="E17" i="9"/>
  <c r="E10" i="9"/>
  <c r="E3" i="9"/>
  <c r="D17" i="9"/>
  <c r="D10" i="9"/>
  <c r="D3" i="9"/>
  <c r="F30" i="9"/>
  <c r="C30" i="9"/>
  <c r="F29" i="9"/>
  <c r="C29" i="9"/>
  <c r="F28" i="9"/>
  <c r="C28" i="9"/>
  <c r="F27" i="9"/>
  <c r="C27" i="9"/>
  <c r="F26" i="9"/>
  <c r="J6" i="9" l="1"/>
  <c r="J4" i="9"/>
  <c r="L16" i="9"/>
  <c r="L9" i="9"/>
  <c r="I16" i="9"/>
  <c r="I9" i="9"/>
  <c r="G16" i="9"/>
  <c r="G9" i="9"/>
  <c r="C16" i="9"/>
  <c r="C9" i="9"/>
  <c r="F9" i="9"/>
  <c r="J5" i="9"/>
  <c r="J3" i="9"/>
  <c r="J2" i="9"/>
  <c r="F2" i="9"/>
  <c r="L20" i="9" l="1"/>
  <c r="L18" i="9"/>
  <c r="L19" i="9"/>
  <c r="L17" i="9"/>
  <c r="L13" i="9"/>
  <c r="L11" i="9"/>
  <c r="L12" i="9"/>
  <c r="L10" i="9"/>
  <c r="I20" i="9"/>
  <c r="I18" i="9"/>
  <c r="I19" i="9"/>
  <c r="I17" i="9"/>
  <c r="I13" i="9"/>
  <c r="I11" i="9"/>
  <c r="I12" i="9"/>
  <c r="I10" i="9"/>
  <c r="G18" i="9"/>
  <c r="G19" i="9"/>
  <c r="J19" i="9" s="1"/>
  <c r="G17" i="9"/>
  <c r="G20" i="9"/>
  <c r="J20" i="9" s="1"/>
  <c r="G12" i="9"/>
  <c r="J12" i="9" s="1"/>
  <c r="G10" i="9"/>
  <c r="G13" i="9"/>
  <c r="J13" i="9" s="1"/>
  <c r="G11" i="9"/>
  <c r="J11" i="9" s="1"/>
  <c r="F16" i="9"/>
  <c r="C20" i="9"/>
  <c r="C19" i="9"/>
  <c r="F19" i="9" s="1"/>
  <c r="C18" i="9"/>
  <c r="F13" i="9"/>
  <c r="C13" i="9"/>
  <c r="C12" i="9"/>
  <c r="F12" i="9" s="1"/>
  <c r="C11" i="9"/>
  <c r="J16" i="9"/>
  <c r="F3" i="9"/>
  <c r="C17" i="9"/>
  <c r="F17" i="9" s="1"/>
  <c r="K17" i="9" s="1"/>
  <c r="C10" i="9"/>
  <c r="J9" i="9"/>
  <c r="K9" i="9" s="1"/>
  <c r="F11" i="9"/>
  <c r="F18" i="9"/>
  <c r="F20" i="9"/>
  <c r="J17" i="9"/>
  <c r="J18" i="9"/>
  <c r="F6" i="9"/>
  <c r="K6" i="9" s="1"/>
  <c r="F5" i="9"/>
  <c r="K5" i="9" s="1"/>
  <c r="F4" i="9"/>
  <c r="K4" i="9" s="1"/>
  <c r="K2" i="9"/>
  <c r="K3" i="9"/>
  <c r="K18" i="9" l="1"/>
  <c r="K20" i="9"/>
  <c r="K11" i="9"/>
  <c r="K12" i="9"/>
  <c r="K19" i="9"/>
  <c r="K13" i="9"/>
  <c r="K16" i="9"/>
  <c r="D21" i="6"/>
  <c r="G21" i="6" s="1"/>
  <c r="C21" i="6"/>
  <c r="D20" i="6"/>
  <c r="G20" i="6" s="1"/>
  <c r="C20" i="6"/>
  <c r="D19" i="6"/>
  <c r="G19" i="6" s="1"/>
  <c r="C19" i="6"/>
  <c r="D18" i="6"/>
  <c r="G18" i="6" s="1"/>
  <c r="C18" i="6"/>
  <c r="D17" i="6"/>
  <c r="G17" i="6" s="1"/>
  <c r="C17" i="6"/>
  <c r="D16" i="6"/>
  <c r="G16" i="6" s="1"/>
  <c r="C16" i="6"/>
  <c r="C15" i="6"/>
  <c r="G15" i="6" s="1"/>
  <c r="G14" i="6"/>
  <c r="F14" i="6"/>
  <c r="D13" i="6"/>
  <c r="C13" i="6"/>
  <c r="D12" i="6"/>
  <c r="C12" i="6"/>
  <c r="D11" i="6"/>
  <c r="G11" i="6" s="1"/>
  <c r="C11" i="6"/>
  <c r="G10" i="6"/>
  <c r="F10" i="6"/>
  <c r="C9" i="6"/>
  <c r="G6" i="6"/>
  <c r="C6" i="6"/>
  <c r="F6" i="6" s="1"/>
  <c r="E7" i="6" l="1"/>
  <c r="E12" i="6" s="1"/>
  <c r="G12" i="6" s="1"/>
  <c r="E8" i="6"/>
  <c r="G8" i="6" s="1"/>
  <c r="F11" i="6"/>
  <c r="F16" i="6"/>
  <c r="F17" i="6"/>
  <c r="F18" i="6"/>
  <c r="F19" i="6"/>
  <c r="F20" i="6"/>
  <c r="F21" i="6"/>
  <c r="F9" i="6"/>
  <c r="E13" i="6"/>
  <c r="F13" i="6" s="1"/>
  <c r="C7" i="6"/>
  <c r="C8" i="6"/>
  <c r="F8" i="6" s="1"/>
  <c r="G9" i="6"/>
  <c r="F15" i="6"/>
  <c r="F7" i="6" l="1"/>
  <c r="F12" i="6"/>
  <c r="G7" i="6"/>
  <c r="G13" i="6"/>
  <c r="J10" i="9" l="1"/>
  <c r="F10" i="9"/>
  <c r="K10" i="9" l="1"/>
</calcChain>
</file>

<file path=xl/sharedStrings.xml><?xml version="1.0" encoding="utf-8"?>
<sst xmlns="http://schemas.openxmlformats.org/spreadsheetml/2006/main" count="188" uniqueCount="113">
  <si>
    <t>DEA</t>
  </si>
  <si>
    <t>Vicerrector</t>
  </si>
  <si>
    <t>Vicedecano, Subdirector, Secretario</t>
  </si>
  <si>
    <t>Director de Departamento</t>
  </si>
  <si>
    <t>Secretario de Departamento</t>
  </si>
  <si>
    <t>Director de Instituto Universitario</t>
  </si>
  <si>
    <t>Coordinador COU</t>
  </si>
  <si>
    <t>A1</t>
  </si>
  <si>
    <t>A2</t>
  </si>
  <si>
    <t>B</t>
  </si>
  <si>
    <t>C1</t>
  </si>
  <si>
    <t>C2</t>
  </si>
  <si>
    <t>CUERPO</t>
  </si>
  <si>
    <t>SUELDO</t>
  </si>
  <si>
    <t>TOTAL MES</t>
  </si>
  <si>
    <t>TRIENIOS</t>
  </si>
  <si>
    <t>T.C.</t>
  </si>
  <si>
    <t>NIVEL 29</t>
  </si>
  <si>
    <t>NIVEL 27</t>
  </si>
  <si>
    <t>NIVEL 26</t>
  </si>
  <si>
    <t>MENSUAL</t>
  </si>
  <si>
    <t>RESID. POR TRIENIO</t>
  </si>
  <si>
    <t>PASIVOS</t>
  </si>
  <si>
    <t>MUFACE</t>
  </si>
  <si>
    <t>GRUPO A</t>
  </si>
  <si>
    <t>E</t>
  </si>
  <si>
    <t>65% T.U.</t>
  </si>
  <si>
    <t>65% + 2% T.U.</t>
  </si>
  <si>
    <t>65% + 5% T.U.</t>
  </si>
  <si>
    <t>90% T.U.</t>
  </si>
  <si>
    <t>100% T.U.</t>
  </si>
  <si>
    <t>85% T.U.</t>
  </si>
  <si>
    <t>85% + 2% T.U.</t>
  </si>
  <si>
    <t>85% + 5% T.U.</t>
  </si>
  <si>
    <t>60 % T.U.</t>
  </si>
  <si>
    <t>30 % T.U.</t>
  </si>
  <si>
    <t>25 % T.U.</t>
  </si>
  <si>
    <t>20 % T.U.</t>
  </si>
  <si>
    <t>15 % T.U.</t>
  </si>
  <si>
    <t>10 % T.U.</t>
  </si>
  <si>
    <t>COMPLEMENTO
DESTINO</t>
  </si>
  <si>
    <t>COMPLEMENTO
ESPECÍFICO</t>
  </si>
  <si>
    <t>SUELDO
P. EXTRA</t>
  </si>
  <si>
    <t>P. ADICIONAL</t>
  </si>
  <si>
    <t>TRIENIO
P. EXTRA</t>
  </si>
  <si>
    <t>TOTAL
P. EXTRA</t>
  </si>
  <si>
    <t>TOTAL AÑO</t>
  </si>
  <si>
    <t>TRIENIO</t>
  </si>
  <si>
    <t>QUINQUENIO/
SEXENIO</t>
  </si>
  <si>
    <t>CATEDRÁTICO DE UNIVERSIDAD</t>
  </si>
  <si>
    <t>6 H</t>
  </si>
  <si>
    <t>5 H</t>
  </si>
  <si>
    <t>4 H</t>
  </si>
  <si>
    <t>3 H</t>
  </si>
  <si>
    <t>TITULAR DE UNIVERSIDAD Y</t>
  </si>
  <si>
    <t>CATEDRÁTICO ESC. UNIVERSITARIA</t>
  </si>
  <si>
    <t>TITULAR DE ESCUELA UNIVERSITARIA</t>
  </si>
  <si>
    <t>Horas</t>
  </si>
  <si>
    <t>2 H</t>
  </si>
  <si>
    <t>INDEMNIZACIÓN POR RESIDENCIA</t>
  </si>
  <si>
    <t>GRUPO</t>
  </si>
  <si>
    <t>NORMAL</t>
  </si>
  <si>
    <t>EXTRA</t>
  </si>
  <si>
    <t>IMPORTE</t>
  </si>
  <si>
    <t>CD Director General</t>
  </si>
  <si>
    <t>COEF. REDUCTOR</t>
  </si>
  <si>
    <t>Tiempo completo</t>
  </si>
  <si>
    <t>6 horas</t>
  </si>
  <si>
    <t>5 horas</t>
  </si>
  <si>
    <t>4 horas</t>
  </si>
  <si>
    <t>3 horas</t>
  </si>
  <si>
    <t>2 horas</t>
  </si>
  <si>
    <t>Colaborador (DEA)</t>
  </si>
  <si>
    <t>Categoría</t>
  </si>
  <si>
    <t>Dedicación</t>
  </si>
  <si>
    <t>Sueldo</t>
  </si>
  <si>
    <t>Compelmento Singular
Categoría</t>
  </si>
  <si>
    <t>Complemento
Doctorado</t>
  </si>
  <si>
    <t>Total Mes</t>
  </si>
  <si>
    <t>Paga Extra</t>
  </si>
  <si>
    <t>Coeficiente
reductor 2020</t>
  </si>
  <si>
    <t>Profesor Ayudante</t>
  </si>
  <si>
    <t>Profesor Ayudante (DEA)</t>
  </si>
  <si>
    <t>Profesor Ayudante (Doctor)</t>
  </si>
  <si>
    <t>Profesor Ayudante Doctor</t>
  </si>
  <si>
    <t>Profesor Contratado Doctor</t>
  </si>
  <si>
    <t>Profesor Colaborador</t>
  </si>
  <si>
    <t>Profesor Colaborador (Doctor)</t>
  </si>
  <si>
    <t>Profesor Visitante</t>
  </si>
  <si>
    <t>Profesor Visitante Doctor</t>
  </si>
  <si>
    <t>Profesor Interino</t>
  </si>
  <si>
    <t>Profesor Asociado/Interino</t>
  </si>
  <si>
    <t>Profesor Asociado Ciencias de la Salud</t>
  </si>
  <si>
    <t>Doctor</t>
  </si>
  <si>
    <t>Trienios asociados e interinos a tiempo parcial</t>
  </si>
  <si>
    <t>13,90</t>
  </si>
  <si>
    <t>11,58</t>
  </si>
  <si>
    <t>9,26</t>
  </si>
  <si>
    <t>6,95</t>
  </si>
  <si>
    <t>4,63</t>
  </si>
  <si>
    <t>Importe trienio</t>
  </si>
  <si>
    <t>Importe trienio P. Extra</t>
  </si>
  <si>
    <t>8,58</t>
  </si>
  <si>
    <t>7,15</t>
  </si>
  <si>
    <t>5,72</t>
  </si>
  <si>
    <t>4,29</t>
  </si>
  <si>
    <t>2,86</t>
  </si>
  <si>
    <t>Complemento por Doctorado (Profesores Asociados)</t>
  </si>
  <si>
    <t>RETRIBUCIONES PROFESORADO LABORAL LOU 2020</t>
  </si>
  <si>
    <t>Complemento por Cargo Académico</t>
  </si>
  <si>
    <t>Rector</t>
  </si>
  <si>
    <t>Decano o Director de Centro</t>
  </si>
  <si>
    <t>Coordinador de Máster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</si>
</sst>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Verdana"/>
      <family val="2"/>
    </font>
    <font>
      <sz val="9"/>
      <color theme="1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8">
    <xf numFmtId="0" fontId="0" fillId="0" borderId="0" xfId="0"/>
    <xf numFmtId="0" fontId="2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0" fontId="2" fillId="0" borderId="0" xfId="0" applyFont="1" applyProtection="1">
      <protection hidden="1"/>
    </xf>
    <xf numFmtId="0" fontId="3" fillId="0" borderId="0" xfId="0" applyFont="1" applyProtection="1">
      <protection hidden="1"/>
    </xf>
    <xf numFmtId="4" fontId="3" fillId="0" borderId="0" xfId="0" applyNumberFormat="1" applyFont="1" applyProtection="1">
      <protection hidden="1"/>
    </xf>
    <xf numFmtId="0" fontId="5" fillId="0" borderId="3" xfId="0" applyFont="1" applyBorder="1" applyProtection="1">
      <protection hidden="1"/>
    </xf>
    <xf numFmtId="0" fontId="4" fillId="0" borderId="3" xfId="0" applyFont="1" applyBorder="1" applyProtection="1">
      <protection hidden="1"/>
    </xf>
    <xf numFmtId="2" fontId="4" fillId="0" borderId="3" xfId="0" applyNumberFormat="1" applyFont="1" applyBorder="1" applyProtection="1">
      <protection hidden="1"/>
    </xf>
    <xf numFmtId="2" fontId="4" fillId="0" borderId="3" xfId="0" applyNumberFormat="1" applyFont="1" applyBorder="1" applyAlignment="1" applyProtection="1">
      <alignment horizontal="center"/>
      <protection hidden="1"/>
    </xf>
    <xf numFmtId="2" fontId="5" fillId="0" borderId="3" xfId="0" applyNumberFormat="1" applyFont="1" applyBorder="1" applyProtection="1">
      <protection hidden="1"/>
    </xf>
    <xf numFmtId="0" fontId="5" fillId="0" borderId="3" xfId="0" applyFont="1" applyBorder="1" applyAlignment="1" applyProtection="1">
      <alignment horizontal="center"/>
      <protection hidden="1"/>
    </xf>
    <xf numFmtId="0" fontId="4" fillId="0" borderId="3" xfId="0" applyFont="1" applyBorder="1" applyAlignment="1" applyProtection="1">
      <alignment horizontal="center"/>
      <protection hidden="1"/>
    </xf>
    <xf numFmtId="164" fontId="5" fillId="0" borderId="3" xfId="0" applyNumberFormat="1" applyFont="1" applyBorder="1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2" fontId="5" fillId="0" borderId="3" xfId="0" applyNumberFormat="1" applyFont="1" applyBorder="1" applyAlignment="1" applyProtection="1">
      <alignment horizontal="center"/>
      <protection hidden="1"/>
    </xf>
    <xf numFmtId="0" fontId="1" fillId="0" borderId="3" xfId="0" applyFont="1" applyBorder="1" applyProtection="1">
      <protection hidden="1"/>
    </xf>
    <xf numFmtId="0" fontId="0" fillId="0" borderId="3" xfId="0" applyBorder="1" applyProtection="1">
      <protection hidden="1"/>
    </xf>
    <xf numFmtId="0" fontId="5" fillId="0" borderId="0" xfId="0" applyFont="1" applyProtection="1">
      <protection hidden="1"/>
    </xf>
    <xf numFmtId="4" fontId="6" fillId="0" borderId="3" xfId="1" applyNumberFormat="1" applyFont="1" applyBorder="1" applyAlignment="1">
      <alignment horizontal="right" vertical="center"/>
    </xf>
    <xf numFmtId="4" fontId="5" fillId="0" borderId="0" xfId="0" applyNumberFormat="1" applyFont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3" xfId="0" applyBorder="1" applyAlignment="1" applyProtection="1">
      <alignment horizontal="right"/>
      <protection hidden="1"/>
    </xf>
    <xf numFmtId="2" fontId="0" fillId="0" borderId="3" xfId="0" applyNumberFormat="1" applyBorder="1" applyAlignment="1" applyProtection="1">
      <alignment horizontal="right"/>
      <protection hidden="1"/>
    </xf>
    <xf numFmtId="0" fontId="0" fillId="0" borderId="4" xfId="0" applyBorder="1" applyProtection="1">
      <protection hidden="1"/>
    </xf>
    <xf numFmtId="0" fontId="0" fillId="0" borderId="2" xfId="0" applyBorder="1" applyProtection="1">
      <protection hidden="1"/>
    </xf>
    <xf numFmtId="0" fontId="0" fillId="0" borderId="0" xfId="0" applyBorder="1" applyProtection="1">
      <protection hidden="1"/>
    </xf>
    <xf numFmtId="0" fontId="1" fillId="0" borderId="3" xfId="0" applyFont="1" applyBorder="1" applyAlignment="1" applyProtection="1">
      <alignment horizontal="center" vertical="center"/>
      <protection hidden="1"/>
    </xf>
    <xf numFmtId="0" fontId="1" fillId="0" borderId="3" xfId="0" applyFont="1" applyBorder="1" applyAlignment="1" applyProtection="1">
      <alignment horizontal="center" vertical="center" wrapText="1"/>
      <protection hidden="1"/>
    </xf>
    <xf numFmtId="2" fontId="0" fillId="0" borderId="3" xfId="0" applyNumberFormat="1" applyBorder="1" applyProtection="1">
      <protection hidden="1"/>
    </xf>
    <xf numFmtId="0" fontId="1" fillId="0" borderId="1" xfId="0" applyFont="1" applyBorder="1" applyProtection="1">
      <protection hidden="1"/>
    </xf>
    <xf numFmtId="4" fontId="0" fillId="0" borderId="3" xfId="0" applyNumberFormat="1" applyBorder="1" applyProtection="1">
      <protection hidden="1"/>
    </xf>
    <xf numFmtId="0" fontId="1" fillId="0" borderId="3" xfId="0" applyFont="1" applyBorder="1" applyAlignment="1" applyProtection="1">
      <alignment horizontal="center"/>
      <protection hidden="1"/>
    </xf>
    <xf numFmtId="4" fontId="7" fillId="0" borderId="3" xfId="0" applyNumberFormat="1" applyFont="1" applyBorder="1" applyAlignment="1" applyProtection="1">
      <alignment horizontal="center"/>
      <protection hidden="1"/>
    </xf>
    <xf numFmtId="2" fontId="4" fillId="0" borderId="1" xfId="0" applyNumberFormat="1" applyFont="1" applyBorder="1" applyAlignment="1" applyProtection="1">
      <alignment horizontal="center"/>
      <protection hidden="1"/>
    </xf>
    <xf numFmtId="2" fontId="4" fillId="0" borderId="4" xfId="0" applyNumberFormat="1" applyFont="1" applyBorder="1" applyAlignment="1" applyProtection="1">
      <alignment horizontal="center"/>
      <protection hidden="1"/>
    </xf>
    <xf numFmtId="0" fontId="2" fillId="0" borderId="5" xfId="0" applyFont="1" applyBorder="1" applyAlignment="1" applyProtection="1">
      <alignment horizontal="center"/>
      <protection hidden="1"/>
    </xf>
    <xf numFmtId="0" fontId="4" fillId="0" borderId="6" xfId="0" applyFont="1" applyBorder="1" applyAlignment="1" applyProtection="1">
      <alignment horizontal="center" vertical="center"/>
      <protection hidden="1"/>
    </xf>
    <xf numFmtId="0" fontId="4" fillId="0" borderId="7" xfId="0" applyFont="1" applyBorder="1" applyAlignment="1" applyProtection="1">
      <alignment horizontal="center" vertical="center"/>
      <protection hidden="1"/>
    </xf>
    <xf numFmtId="0" fontId="4" fillId="0" borderId="8" xfId="0" applyFont="1" applyBorder="1" applyAlignment="1" applyProtection="1">
      <alignment horizontal="center" vertical="center"/>
      <protection hidden="1"/>
    </xf>
    <xf numFmtId="0" fontId="1" fillId="0" borderId="6" xfId="0" applyFont="1" applyBorder="1" applyAlignment="1" applyProtection="1">
      <alignment vertical="center"/>
      <protection hidden="1"/>
    </xf>
    <xf numFmtId="0" fontId="1" fillId="0" borderId="7" xfId="0" applyFont="1" applyBorder="1" applyAlignment="1" applyProtection="1">
      <alignment vertical="center"/>
      <protection hidden="1"/>
    </xf>
    <xf numFmtId="0" fontId="1" fillId="0" borderId="8" xfId="0" applyFont="1" applyBorder="1" applyAlignment="1" applyProtection="1">
      <alignment vertical="center"/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1" fillId="0" borderId="2" xfId="0" applyFont="1" applyBorder="1" applyAlignment="1" applyProtection="1">
      <alignment horizontal="center"/>
      <protection hidden="1"/>
    </xf>
    <xf numFmtId="0" fontId="1" fillId="0" borderId="4" xfId="0" applyFont="1" applyBorder="1" applyAlignment="1" applyProtection="1">
      <alignment horizontal="center"/>
      <protection hidden="1"/>
    </xf>
    <xf numFmtId="0" fontId="8" fillId="0" borderId="0" xfId="0" applyFont="1" applyAlignment="1" applyProtection="1">
      <alignment horizontal="center"/>
      <protection hidden="1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abSelected="1" workbookViewId="0">
      <selection activeCell="G12" sqref="G12"/>
    </sheetView>
  </sheetViews>
  <sheetFormatPr baseColWidth="10" defaultRowHeight="15" x14ac:dyDescent="0.25"/>
  <cols>
    <col min="1" max="1" width="38.7109375" style="3" bestFit="1" customWidth="1"/>
    <col min="2" max="2" width="6.42578125" style="3" bestFit="1" customWidth="1"/>
    <col min="3" max="3" width="10.140625" style="3" bestFit="1" customWidth="1"/>
    <col min="4" max="4" width="16.140625" style="3" customWidth="1"/>
    <col min="5" max="5" width="17.140625" style="3" customWidth="1"/>
    <col min="6" max="7" width="11.5703125" style="3" bestFit="1" customWidth="1"/>
    <col min="8" max="8" width="16.5703125" style="3" customWidth="1"/>
    <col min="9" max="12" width="11.5703125" style="3" bestFit="1" customWidth="1"/>
    <col min="13" max="13" width="15" style="3" customWidth="1"/>
    <col min="14" max="14" width="6.28515625" style="3" customWidth="1"/>
    <col min="15" max="16384" width="11.42578125" style="3"/>
  </cols>
  <sheetData>
    <row r="1" spans="1:13" ht="33.75" x14ac:dyDescent="0.25">
      <c r="A1" s="1" t="s">
        <v>12</v>
      </c>
      <c r="B1" s="1" t="s">
        <v>57</v>
      </c>
      <c r="C1" s="1" t="s">
        <v>13</v>
      </c>
      <c r="D1" s="2" t="s">
        <v>40</v>
      </c>
      <c r="E1" s="2" t="s">
        <v>41</v>
      </c>
      <c r="F1" s="1" t="s">
        <v>14</v>
      </c>
      <c r="G1" s="2" t="s">
        <v>42</v>
      </c>
      <c r="H1" s="2" t="s">
        <v>43</v>
      </c>
      <c r="I1" s="2" t="s">
        <v>44</v>
      </c>
      <c r="J1" s="2" t="s">
        <v>45</v>
      </c>
      <c r="K1" s="2" t="s">
        <v>46</v>
      </c>
      <c r="L1" s="2" t="s">
        <v>47</v>
      </c>
      <c r="M1" s="2" t="s">
        <v>48</v>
      </c>
    </row>
    <row r="2" spans="1:13" x14ac:dyDescent="0.25">
      <c r="A2" s="4" t="s">
        <v>49</v>
      </c>
      <c r="B2" s="5" t="s">
        <v>16</v>
      </c>
      <c r="C2" s="21">
        <v>1203.56</v>
      </c>
      <c r="D2" s="21">
        <v>942.97</v>
      </c>
      <c r="E2" s="21">
        <v>1063.17</v>
      </c>
      <c r="F2" s="21">
        <f>C2+D2+E2</f>
        <v>3209.7</v>
      </c>
      <c r="G2" s="21">
        <v>742.7</v>
      </c>
      <c r="H2" s="21">
        <f>E2</f>
        <v>1063.17</v>
      </c>
      <c r="I2" s="21">
        <v>28.59</v>
      </c>
      <c r="J2" s="6">
        <f>G2+D2</f>
        <v>1685.67</v>
      </c>
      <c r="K2" s="6">
        <f>((F2*12)+(J2*2)+(H2*2))</f>
        <v>44014.079999999987</v>
      </c>
      <c r="L2" s="21">
        <v>46.32</v>
      </c>
      <c r="M2" s="21">
        <v>160.34</v>
      </c>
    </row>
    <row r="3" spans="1:13" x14ac:dyDescent="0.25">
      <c r="A3" s="4" t="s">
        <v>17</v>
      </c>
      <c r="B3" s="5" t="s">
        <v>50</v>
      </c>
      <c r="C3" s="6">
        <f>C2*D26</f>
        <v>521.38219199999992</v>
      </c>
      <c r="D3" s="6">
        <f>D2*D26</f>
        <v>408.49460399999998</v>
      </c>
      <c r="E3" s="6">
        <f>E2*D26</f>
        <v>460.56524400000001</v>
      </c>
      <c r="F3" s="6">
        <f>C3+D3+H3</f>
        <v>1390.4420399999999</v>
      </c>
      <c r="G3" s="6">
        <f>G2*D26</f>
        <v>321.73764</v>
      </c>
      <c r="H3" s="6">
        <f>H2*D26</f>
        <v>460.56524400000001</v>
      </c>
      <c r="I3" s="6">
        <f>I2*D26</f>
        <v>12.385187999999999</v>
      </c>
      <c r="J3" s="6">
        <f t="shared" ref="J3:J6" si="0">G3+D3</f>
        <v>730.23224400000004</v>
      </c>
      <c r="K3" s="6">
        <f t="shared" ref="K3:K6" si="1">((F3*12)+(J3*2)+(H3*2))</f>
        <v>19066.899455999999</v>
      </c>
      <c r="L3" s="6">
        <f>L2*D26</f>
        <v>20.065823999999999</v>
      </c>
      <c r="M3" s="6"/>
    </row>
    <row r="4" spans="1:13" x14ac:dyDescent="0.25">
      <c r="A4" s="5"/>
      <c r="B4" s="5" t="s">
        <v>51</v>
      </c>
      <c r="C4" s="6">
        <f>C2*D27</f>
        <v>434.48515999999995</v>
      </c>
      <c r="D4" s="6">
        <f>D2*D27</f>
        <v>340.41217</v>
      </c>
      <c r="E4" s="6">
        <f>E2*D27</f>
        <v>383.80437000000001</v>
      </c>
      <c r="F4" s="6">
        <f t="shared" ref="F4:F6" si="2">C4+D4+E4</f>
        <v>1158.7017000000001</v>
      </c>
      <c r="G4" s="6">
        <f>G2*D27</f>
        <v>268.11470000000003</v>
      </c>
      <c r="H4" s="6">
        <f>H2*D27</f>
        <v>383.80437000000001</v>
      </c>
      <c r="I4" s="6">
        <f>I2*D27</f>
        <v>10.32099</v>
      </c>
      <c r="J4" s="6">
        <f t="shared" si="0"/>
        <v>608.52687000000003</v>
      </c>
      <c r="K4" s="6">
        <f t="shared" si="1"/>
        <v>15889.08288</v>
      </c>
      <c r="L4" s="6">
        <f>L2*D27</f>
        <v>16.721519999999998</v>
      </c>
      <c r="M4" s="6"/>
    </row>
    <row r="5" spans="1:13" x14ac:dyDescent="0.25">
      <c r="A5" s="5"/>
      <c r="B5" s="5" t="s">
        <v>52</v>
      </c>
      <c r="C5" s="6">
        <f>C2*D28</f>
        <v>347.58812799999998</v>
      </c>
      <c r="D5" s="6">
        <f>D2*D28</f>
        <v>272.32973600000003</v>
      </c>
      <c r="E5" s="6">
        <f>E2*D28</f>
        <v>307.043496</v>
      </c>
      <c r="F5" s="6">
        <f t="shared" si="2"/>
        <v>926.96136000000001</v>
      </c>
      <c r="G5" s="6">
        <f>G2*D28</f>
        <v>214.49176000000003</v>
      </c>
      <c r="H5" s="6">
        <f>H2*D28</f>
        <v>307.043496</v>
      </c>
      <c r="I5" s="6">
        <f>I2*D28</f>
        <v>8.2567920000000008</v>
      </c>
      <c r="J5" s="6">
        <f t="shared" si="0"/>
        <v>486.82149600000002</v>
      </c>
      <c r="K5" s="6">
        <f t="shared" si="1"/>
        <v>12711.266304000001</v>
      </c>
      <c r="L5" s="6">
        <f>L2*D28</f>
        <v>13.377216000000001</v>
      </c>
      <c r="M5" s="6"/>
    </row>
    <row r="6" spans="1:13" x14ac:dyDescent="0.25">
      <c r="A6" s="5"/>
      <c r="B6" s="5" t="s">
        <v>53</v>
      </c>
      <c r="C6" s="6">
        <f>C2*D29</f>
        <v>260.69109599999996</v>
      </c>
      <c r="D6" s="6">
        <f>D2*D29</f>
        <v>204.24730199999999</v>
      </c>
      <c r="E6" s="6">
        <f>E2*D29</f>
        <v>230.282622</v>
      </c>
      <c r="F6" s="6">
        <f t="shared" si="2"/>
        <v>695.22101999999995</v>
      </c>
      <c r="G6" s="6">
        <f>G2*D29</f>
        <v>160.86882</v>
      </c>
      <c r="H6" s="6">
        <f>H2*D29</f>
        <v>230.282622</v>
      </c>
      <c r="I6" s="6">
        <f>I2*D29</f>
        <v>6.1925939999999997</v>
      </c>
      <c r="J6" s="6">
        <f t="shared" si="0"/>
        <v>365.11612200000002</v>
      </c>
      <c r="K6" s="6">
        <f t="shared" si="1"/>
        <v>9533.4497279999996</v>
      </c>
      <c r="L6" s="6">
        <f>L2*D29</f>
        <v>10.032912</v>
      </c>
      <c r="M6" s="6"/>
    </row>
    <row r="7" spans="1:13" x14ac:dyDescent="0.25">
      <c r="A7" s="5"/>
      <c r="B7" s="19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x14ac:dyDescent="0.25">
      <c r="A9" s="4" t="s">
        <v>54</v>
      </c>
      <c r="B9" s="5" t="s">
        <v>16</v>
      </c>
      <c r="C9" s="21">
        <f>C2</f>
        <v>1203.56</v>
      </c>
      <c r="D9" s="21">
        <v>863.66</v>
      </c>
      <c r="E9" s="21">
        <v>496</v>
      </c>
      <c r="F9" s="21">
        <f>C9+D9+E9</f>
        <v>2563.2199999999998</v>
      </c>
      <c r="G9" s="21">
        <f>G2</f>
        <v>742.7</v>
      </c>
      <c r="H9" s="21">
        <f>E9</f>
        <v>496</v>
      </c>
      <c r="I9" s="21">
        <f>I2</f>
        <v>28.59</v>
      </c>
      <c r="J9" s="6">
        <f>G9+D9</f>
        <v>1606.3600000000001</v>
      </c>
      <c r="K9" s="6">
        <f>((F9*12)+(J9*2)+(H9*2))</f>
        <v>34963.360000000001</v>
      </c>
      <c r="L9" s="21">
        <f>L2</f>
        <v>46.32</v>
      </c>
      <c r="M9" s="21">
        <v>130.27000000000001</v>
      </c>
    </row>
    <row r="10" spans="1:13" x14ac:dyDescent="0.25">
      <c r="A10" s="4" t="s">
        <v>55</v>
      </c>
      <c r="B10" s="5" t="s">
        <v>50</v>
      </c>
      <c r="C10" s="6">
        <f>C9*0.4332</f>
        <v>521.38219199999992</v>
      </c>
      <c r="D10" s="6">
        <f>D9*D26</f>
        <v>374.13751199999996</v>
      </c>
      <c r="E10" s="6">
        <f>E9*D26</f>
        <v>214.8672</v>
      </c>
      <c r="F10" s="6">
        <f>C10+D10+H10</f>
        <v>1110.3869039999997</v>
      </c>
      <c r="G10" s="6">
        <f>G9*D26</f>
        <v>321.73764</v>
      </c>
      <c r="H10" s="6">
        <f>H9*D26</f>
        <v>214.8672</v>
      </c>
      <c r="I10" s="6">
        <f>I9*D26</f>
        <v>12.385187999999999</v>
      </c>
      <c r="J10" s="6">
        <f t="shared" ref="J10:J13" si="3">G10+D10</f>
        <v>695.87515199999996</v>
      </c>
      <c r="K10" s="6">
        <f t="shared" ref="K10:K13" si="4">((F10*12)+(J10*2)+(H10*2))</f>
        <v>15146.127551999994</v>
      </c>
      <c r="L10" s="6">
        <f>L9*D26</f>
        <v>20.065823999999999</v>
      </c>
      <c r="M10" s="6"/>
    </row>
    <row r="11" spans="1:13" x14ac:dyDescent="0.25">
      <c r="A11" s="4" t="s">
        <v>18</v>
      </c>
      <c r="B11" s="5" t="s">
        <v>51</v>
      </c>
      <c r="C11" s="6">
        <f>C9*D27</f>
        <v>434.48515999999995</v>
      </c>
      <c r="D11" s="6">
        <f>D9*D27</f>
        <v>311.78125999999997</v>
      </c>
      <c r="E11" s="6">
        <f>E9*D27</f>
        <v>179.05599999999998</v>
      </c>
      <c r="F11" s="6">
        <f t="shared" ref="F11:F13" si="5">C11+D11+E11</f>
        <v>925.32241999999997</v>
      </c>
      <c r="G11" s="6">
        <f>G9*D27</f>
        <v>268.11470000000003</v>
      </c>
      <c r="H11" s="6">
        <f>H9*D27</f>
        <v>179.05599999999998</v>
      </c>
      <c r="I11" s="6">
        <f>I9*D27</f>
        <v>10.32099</v>
      </c>
      <c r="J11" s="6">
        <f t="shared" si="3"/>
        <v>579.89596000000006</v>
      </c>
      <c r="K11" s="6">
        <f t="shared" si="4"/>
        <v>12621.772959999998</v>
      </c>
      <c r="L11" s="6">
        <f>L9*D27</f>
        <v>16.721519999999998</v>
      </c>
      <c r="M11" s="6"/>
    </row>
    <row r="12" spans="1:13" x14ac:dyDescent="0.25">
      <c r="A12" s="5"/>
      <c r="B12" s="5" t="s">
        <v>52</v>
      </c>
      <c r="C12" s="6">
        <f>C9*D28</f>
        <v>347.58812799999998</v>
      </c>
      <c r="D12" s="6">
        <f>D9*D28</f>
        <v>249.42500799999999</v>
      </c>
      <c r="E12" s="6">
        <f>E9*D28</f>
        <v>143.2448</v>
      </c>
      <c r="F12" s="6">
        <f t="shared" si="5"/>
        <v>740.25793599999997</v>
      </c>
      <c r="G12" s="6">
        <f>G9*D28</f>
        <v>214.49176000000003</v>
      </c>
      <c r="H12" s="6">
        <f>H9*D28</f>
        <v>143.2448</v>
      </c>
      <c r="I12" s="6">
        <f>I9*D28</f>
        <v>8.2567920000000008</v>
      </c>
      <c r="J12" s="6">
        <f t="shared" si="3"/>
        <v>463.91676800000005</v>
      </c>
      <c r="K12" s="6">
        <f t="shared" si="4"/>
        <v>10097.418368000001</v>
      </c>
      <c r="L12" s="6">
        <f>L9*D28</f>
        <v>13.377216000000001</v>
      </c>
      <c r="M12" s="6"/>
    </row>
    <row r="13" spans="1:13" x14ac:dyDescent="0.25">
      <c r="A13" s="5"/>
      <c r="B13" s="5" t="s">
        <v>53</v>
      </c>
      <c r="C13" s="6">
        <f>C9*D29</f>
        <v>260.69109599999996</v>
      </c>
      <c r="D13" s="6">
        <f>D9*D29</f>
        <v>187.06875599999998</v>
      </c>
      <c r="E13" s="6">
        <f>E9*D29</f>
        <v>107.4336</v>
      </c>
      <c r="F13" s="6">
        <f t="shared" si="5"/>
        <v>555.19345199999987</v>
      </c>
      <c r="G13" s="6">
        <f>G9*D29</f>
        <v>160.86882</v>
      </c>
      <c r="H13" s="6">
        <f>H9*D29</f>
        <v>107.4336</v>
      </c>
      <c r="I13" s="6">
        <f>I9*D29</f>
        <v>6.1925939999999997</v>
      </c>
      <c r="J13" s="6">
        <f t="shared" si="3"/>
        <v>347.93757599999998</v>
      </c>
      <c r="K13" s="6">
        <f t="shared" si="4"/>
        <v>7573.0637759999972</v>
      </c>
      <c r="L13" s="6">
        <f>L9*D29</f>
        <v>10.032912</v>
      </c>
      <c r="M13" s="6"/>
    </row>
    <row r="14" spans="1:13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 x14ac:dyDescent="0.25">
      <c r="A16" s="4" t="s">
        <v>56</v>
      </c>
      <c r="B16" s="5" t="s">
        <v>16</v>
      </c>
      <c r="C16" s="21">
        <f>C2</f>
        <v>1203.56</v>
      </c>
      <c r="D16" s="21">
        <v>757.72</v>
      </c>
      <c r="E16" s="21">
        <v>306.22000000000003</v>
      </c>
      <c r="F16" s="21">
        <f>C16+D16+E16</f>
        <v>2267.5</v>
      </c>
      <c r="G16" s="21">
        <f>G2</f>
        <v>742.7</v>
      </c>
      <c r="H16" s="21">
        <f>E16</f>
        <v>306.22000000000003</v>
      </c>
      <c r="I16" s="21">
        <f>I2</f>
        <v>28.59</v>
      </c>
      <c r="J16" s="6">
        <f>G16+D16</f>
        <v>1500.42</v>
      </c>
      <c r="K16" s="6">
        <f>((F16*12)+(J16*2)+(H16*2))</f>
        <v>30823.279999999999</v>
      </c>
      <c r="L16" s="21">
        <f>L2</f>
        <v>46.32</v>
      </c>
      <c r="M16" s="21">
        <v>110.25</v>
      </c>
    </row>
    <row r="17" spans="1:13" x14ac:dyDescent="0.25">
      <c r="A17" s="4" t="s">
        <v>19</v>
      </c>
      <c r="B17" s="5" t="s">
        <v>50</v>
      </c>
      <c r="C17" s="6">
        <f>C16*0.4332</f>
        <v>521.38219199999992</v>
      </c>
      <c r="D17" s="6">
        <f>D16*D26</f>
        <v>328.244304</v>
      </c>
      <c r="E17" s="6">
        <f>E16*D26</f>
        <v>132.654504</v>
      </c>
      <c r="F17" s="6">
        <f>C17+D17+H17</f>
        <v>982.28099999999984</v>
      </c>
      <c r="G17" s="6">
        <f>G16*D26</f>
        <v>321.73764</v>
      </c>
      <c r="H17" s="6">
        <f>H16*D26</f>
        <v>132.654504</v>
      </c>
      <c r="I17" s="6">
        <f>I16*D26</f>
        <v>12.385187999999999</v>
      </c>
      <c r="J17" s="6">
        <f t="shared" ref="J17:J20" si="6">G17+D17</f>
        <v>649.981944</v>
      </c>
      <c r="K17" s="6">
        <f t="shared" ref="K17:K20" si="7">((F17*12)+(J17*2)+(H17*2))</f>
        <v>13352.644895999998</v>
      </c>
      <c r="L17" s="6">
        <f>L16*D26</f>
        <v>20.065823999999999</v>
      </c>
      <c r="M17" s="6"/>
    </row>
    <row r="18" spans="1:13" x14ac:dyDescent="0.25">
      <c r="A18" s="5"/>
      <c r="B18" s="5" t="s">
        <v>51</v>
      </c>
      <c r="C18" s="6">
        <f>C16*D27</f>
        <v>434.48515999999995</v>
      </c>
      <c r="D18" s="6">
        <f>D16*D27</f>
        <v>273.53692000000001</v>
      </c>
      <c r="E18" s="6">
        <f>E16*D27</f>
        <v>110.54542000000001</v>
      </c>
      <c r="F18" s="6">
        <f t="shared" ref="F18:F20" si="8">C18+D18+E18</f>
        <v>818.5675</v>
      </c>
      <c r="G18" s="6">
        <f>G16*D27</f>
        <v>268.11470000000003</v>
      </c>
      <c r="H18" s="6">
        <f>H16*D27</f>
        <v>110.54542000000001</v>
      </c>
      <c r="I18" s="6">
        <f>I16*D27</f>
        <v>10.32099</v>
      </c>
      <c r="J18" s="6">
        <f t="shared" si="6"/>
        <v>541.65162000000009</v>
      </c>
      <c r="K18" s="6">
        <f t="shared" si="7"/>
        <v>11127.20408</v>
      </c>
      <c r="L18" s="6">
        <f>L16*D27</f>
        <v>16.721519999999998</v>
      </c>
      <c r="M18" s="6"/>
    </row>
    <row r="19" spans="1:13" x14ac:dyDescent="0.25">
      <c r="A19" s="5"/>
      <c r="B19" s="5" t="s">
        <v>52</v>
      </c>
      <c r="C19" s="6">
        <f>C16*D28</f>
        <v>347.58812799999998</v>
      </c>
      <c r="D19" s="6">
        <f>D16*D28</f>
        <v>218.82953600000002</v>
      </c>
      <c r="E19" s="6">
        <f>E16*D28</f>
        <v>88.436336000000011</v>
      </c>
      <c r="F19" s="6">
        <f t="shared" si="8"/>
        <v>654.85400000000004</v>
      </c>
      <c r="G19" s="6">
        <f>G16*D28</f>
        <v>214.49176000000003</v>
      </c>
      <c r="H19" s="6">
        <f>H16*D28</f>
        <v>88.436336000000011</v>
      </c>
      <c r="I19" s="6">
        <f>I16*D28</f>
        <v>8.2567920000000008</v>
      </c>
      <c r="J19" s="6">
        <f t="shared" si="6"/>
        <v>433.32129600000007</v>
      </c>
      <c r="K19" s="6">
        <f t="shared" si="7"/>
        <v>8901.7632639999993</v>
      </c>
      <c r="L19" s="6">
        <f>L16*D28</f>
        <v>13.377216000000001</v>
      </c>
      <c r="M19" s="6"/>
    </row>
    <row r="20" spans="1:13" x14ac:dyDescent="0.25">
      <c r="A20" s="5"/>
      <c r="B20" s="5" t="s">
        <v>53</v>
      </c>
      <c r="C20" s="6">
        <f>C16*D29</f>
        <v>260.69109599999996</v>
      </c>
      <c r="D20" s="6">
        <f>D16*D29</f>
        <v>164.122152</v>
      </c>
      <c r="E20" s="6">
        <f>E16*D29</f>
        <v>66.327252000000001</v>
      </c>
      <c r="F20" s="6">
        <f t="shared" si="8"/>
        <v>491.14049999999992</v>
      </c>
      <c r="G20" s="6">
        <f>G16*D29</f>
        <v>160.86882</v>
      </c>
      <c r="H20" s="6">
        <f>H16*D29</f>
        <v>66.327252000000001</v>
      </c>
      <c r="I20" s="6">
        <f>I16*D29</f>
        <v>6.1925939999999997</v>
      </c>
      <c r="J20" s="6">
        <f t="shared" si="6"/>
        <v>324.990972</v>
      </c>
      <c r="K20" s="6">
        <f t="shared" si="7"/>
        <v>6676.322447999999</v>
      </c>
      <c r="L20" s="6">
        <f>L16*D29</f>
        <v>10.032912</v>
      </c>
      <c r="M20" s="6"/>
    </row>
    <row r="21" spans="1:13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 x14ac:dyDescent="0.25">
      <c r="A23" s="37" t="s">
        <v>59</v>
      </c>
      <c r="B23" s="37"/>
      <c r="C23" s="37"/>
      <c r="D23" s="37"/>
      <c r="E23" s="37"/>
      <c r="F23" s="37"/>
      <c r="G23" s="37"/>
      <c r="H23" s="37"/>
      <c r="I23" s="5"/>
      <c r="J23" s="5"/>
      <c r="K23" s="5"/>
      <c r="L23" s="5"/>
      <c r="M23" s="5"/>
    </row>
    <row r="24" spans="1:13" x14ac:dyDescent="0.25">
      <c r="A24" s="7"/>
      <c r="B24" s="8"/>
      <c r="C24" s="9" t="s">
        <v>20</v>
      </c>
      <c r="D24" s="9" t="s">
        <v>65</v>
      </c>
      <c r="E24" s="35" t="s">
        <v>21</v>
      </c>
      <c r="F24" s="36"/>
      <c r="G24" s="10" t="s">
        <v>60</v>
      </c>
      <c r="H24" s="10" t="s">
        <v>47</v>
      </c>
      <c r="K24" s="10" t="s">
        <v>60</v>
      </c>
      <c r="L24" s="10" t="s">
        <v>22</v>
      </c>
      <c r="M24" s="10" t="s">
        <v>23</v>
      </c>
    </row>
    <row r="25" spans="1:13" x14ac:dyDescent="0.25">
      <c r="A25" s="38" t="s">
        <v>24</v>
      </c>
      <c r="B25" s="7" t="s">
        <v>16</v>
      </c>
      <c r="C25" s="9">
        <v>956.57</v>
      </c>
      <c r="D25" s="11"/>
      <c r="E25" s="12" t="s">
        <v>16</v>
      </c>
      <c r="F25" s="16">
        <v>57.87</v>
      </c>
      <c r="G25" s="12" t="s">
        <v>7</v>
      </c>
      <c r="H25" s="16">
        <v>57.87</v>
      </c>
      <c r="K25" s="13" t="s">
        <v>7</v>
      </c>
      <c r="L25" s="11">
        <v>111.9</v>
      </c>
      <c r="M25" s="11">
        <v>48.99</v>
      </c>
    </row>
    <row r="26" spans="1:13" x14ac:dyDescent="0.25">
      <c r="A26" s="39"/>
      <c r="B26" s="5" t="s">
        <v>50</v>
      </c>
      <c r="C26" s="11">
        <f>C25*D26</f>
        <v>414.386124</v>
      </c>
      <c r="D26" s="14">
        <v>0.43319999999999997</v>
      </c>
      <c r="E26" s="15" t="s">
        <v>50</v>
      </c>
      <c r="F26" s="16">
        <f>F25*0.4332</f>
        <v>25.069283999999996</v>
      </c>
      <c r="G26" s="12" t="s">
        <v>8</v>
      </c>
      <c r="H26" s="16">
        <v>44.17</v>
      </c>
      <c r="K26" s="12" t="s">
        <v>8</v>
      </c>
      <c r="L26" s="11">
        <v>88.07</v>
      </c>
      <c r="M26" s="11">
        <v>38.56</v>
      </c>
    </row>
    <row r="27" spans="1:13" x14ac:dyDescent="0.25">
      <c r="A27" s="39"/>
      <c r="B27" s="5" t="s">
        <v>51</v>
      </c>
      <c r="C27" s="11">
        <f>C25*D27</f>
        <v>345.32177000000001</v>
      </c>
      <c r="D27" s="14">
        <v>0.36099999999999999</v>
      </c>
      <c r="E27" s="15" t="s">
        <v>51</v>
      </c>
      <c r="F27" s="16">
        <f>F25*0.361</f>
        <v>20.891069999999999</v>
      </c>
      <c r="G27" s="16" t="s">
        <v>10</v>
      </c>
      <c r="H27" s="16">
        <v>35.22</v>
      </c>
      <c r="K27" s="12" t="s">
        <v>9</v>
      </c>
      <c r="L27" s="7">
        <v>77.12</v>
      </c>
      <c r="M27" s="7">
        <v>33.76</v>
      </c>
    </row>
    <row r="28" spans="1:13" x14ac:dyDescent="0.25">
      <c r="A28" s="39"/>
      <c r="B28" s="5" t="s">
        <v>52</v>
      </c>
      <c r="C28" s="11">
        <f>C25*D28</f>
        <v>276.25741600000003</v>
      </c>
      <c r="D28" s="14">
        <v>0.2888</v>
      </c>
      <c r="E28" s="15" t="s">
        <v>52</v>
      </c>
      <c r="F28" s="16">
        <f>F25*0.2888</f>
        <v>16.712855999999999</v>
      </c>
      <c r="G28" s="16" t="s">
        <v>11</v>
      </c>
      <c r="H28" s="16">
        <v>23.85</v>
      </c>
      <c r="K28" s="16" t="s">
        <v>10</v>
      </c>
      <c r="L28" s="11">
        <v>67.64</v>
      </c>
      <c r="M28" s="11">
        <v>29.61</v>
      </c>
    </row>
    <row r="29" spans="1:13" x14ac:dyDescent="0.25">
      <c r="A29" s="39"/>
      <c r="B29" s="5" t="s">
        <v>53</v>
      </c>
      <c r="C29" s="11">
        <f>C25*D29</f>
        <v>207.193062</v>
      </c>
      <c r="D29" s="14">
        <v>0.21659999999999999</v>
      </c>
      <c r="E29" s="15" t="s">
        <v>53</v>
      </c>
      <c r="F29" s="16">
        <f>F25*0.2166</f>
        <v>12.534641999999998</v>
      </c>
      <c r="G29" s="16" t="s">
        <v>25</v>
      </c>
      <c r="H29" s="16">
        <v>17.739999999999998</v>
      </c>
      <c r="K29" s="16" t="s">
        <v>11</v>
      </c>
      <c r="L29" s="11">
        <v>53.51</v>
      </c>
      <c r="M29" s="11">
        <v>23.43</v>
      </c>
    </row>
    <row r="30" spans="1:13" x14ac:dyDescent="0.25">
      <c r="A30" s="40"/>
      <c r="B30" s="7" t="s">
        <v>58</v>
      </c>
      <c r="C30" s="11">
        <f>C25*D30</f>
        <v>138.12870800000002</v>
      </c>
      <c r="D30" s="14">
        <v>0.1444</v>
      </c>
      <c r="E30" s="12" t="s">
        <v>58</v>
      </c>
      <c r="F30" s="16">
        <f>F25*0.1444</f>
        <v>8.3564279999999993</v>
      </c>
      <c r="G30" s="5"/>
      <c r="K30" s="16" t="s">
        <v>25</v>
      </c>
      <c r="L30" s="11">
        <v>45.62</v>
      </c>
      <c r="M30" s="11">
        <v>19.98</v>
      </c>
    </row>
    <row r="33" spans="4:10" x14ac:dyDescent="0.25">
      <c r="D33" s="33" t="s">
        <v>15</v>
      </c>
      <c r="E33" s="33"/>
      <c r="F33" s="33"/>
      <c r="G33" s="33"/>
      <c r="I33" s="33" t="s">
        <v>64</v>
      </c>
      <c r="J33" s="33"/>
    </row>
    <row r="34" spans="4:10" x14ac:dyDescent="0.25">
      <c r="D34" s="33" t="s">
        <v>61</v>
      </c>
      <c r="E34" s="33"/>
      <c r="F34" s="33" t="s">
        <v>62</v>
      </c>
      <c r="G34" s="33"/>
      <c r="I34" s="34">
        <v>1249.32</v>
      </c>
      <c r="J34" s="34"/>
    </row>
    <row r="35" spans="4:10" x14ac:dyDescent="0.25">
      <c r="D35" s="17" t="s">
        <v>60</v>
      </c>
      <c r="E35" s="17" t="s">
        <v>63</v>
      </c>
      <c r="F35" s="17" t="s">
        <v>60</v>
      </c>
      <c r="G35" s="17" t="s">
        <v>63</v>
      </c>
    </row>
    <row r="36" spans="4:10" x14ac:dyDescent="0.25">
      <c r="D36" s="12" t="s">
        <v>7</v>
      </c>
      <c r="E36" s="16">
        <v>46.32</v>
      </c>
      <c r="F36" s="12" t="s">
        <v>7</v>
      </c>
      <c r="G36" s="20">
        <v>28.59</v>
      </c>
    </row>
    <row r="37" spans="4:10" x14ac:dyDescent="0.25">
      <c r="D37" s="12" t="s">
        <v>8</v>
      </c>
      <c r="E37" s="16">
        <v>37.78</v>
      </c>
      <c r="F37" s="12" t="s">
        <v>8</v>
      </c>
      <c r="G37" s="20">
        <v>27.54</v>
      </c>
    </row>
    <row r="38" spans="4:10" x14ac:dyDescent="0.25">
      <c r="D38" s="12" t="s">
        <v>9</v>
      </c>
      <c r="E38" s="16">
        <v>33.14</v>
      </c>
      <c r="F38" s="12" t="s">
        <v>9</v>
      </c>
      <c r="G38" s="20">
        <v>28.66</v>
      </c>
    </row>
    <row r="39" spans="4:10" x14ac:dyDescent="0.25">
      <c r="D39" s="16" t="s">
        <v>10</v>
      </c>
      <c r="E39" s="16">
        <v>28.59</v>
      </c>
      <c r="F39" s="16" t="s">
        <v>10</v>
      </c>
      <c r="G39" s="20">
        <v>24.69</v>
      </c>
    </row>
    <row r="40" spans="4:10" x14ac:dyDescent="0.25">
      <c r="D40" s="16" t="s">
        <v>11</v>
      </c>
      <c r="E40" s="16">
        <v>19.46</v>
      </c>
      <c r="F40" s="16" t="s">
        <v>11</v>
      </c>
      <c r="G40" s="20">
        <v>19.27</v>
      </c>
    </row>
    <row r="41" spans="4:10" x14ac:dyDescent="0.25">
      <c r="D41" s="16" t="s">
        <v>25</v>
      </c>
      <c r="E41" s="16">
        <v>14.65</v>
      </c>
      <c r="F41" s="16" t="s">
        <v>25</v>
      </c>
      <c r="G41" s="20">
        <v>14.65</v>
      </c>
    </row>
    <row r="44" spans="4:10" x14ac:dyDescent="0.25">
      <c r="D44" s="31" t="s">
        <v>109</v>
      </c>
      <c r="E44" s="25"/>
    </row>
    <row r="46" spans="4:10" x14ac:dyDescent="0.25">
      <c r="D46" s="18" t="s">
        <v>110</v>
      </c>
      <c r="E46" s="32">
        <v>1546.17</v>
      </c>
    </row>
    <row r="47" spans="4:10" x14ac:dyDescent="0.25">
      <c r="D47" s="18" t="s">
        <v>1</v>
      </c>
      <c r="E47" s="32">
        <v>698.99</v>
      </c>
    </row>
    <row r="48" spans="4:10" x14ac:dyDescent="0.25">
      <c r="D48" s="18" t="s">
        <v>111</v>
      </c>
      <c r="E48" s="32">
        <v>545</v>
      </c>
    </row>
    <row r="49" spans="4:5" x14ac:dyDescent="0.25">
      <c r="D49" s="18" t="s">
        <v>2</v>
      </c>
      <c r="E49" s="32">
        <v>294.10000000000002</v>
      </c>
    </row>
    <row r="50" spans="4:5" x14ac:dyDescent="0.25">
      <c r="D50" s="18" t="s">
        <v>3</v>
      </c>
      <c r="E50" s="32">
        <v>394.36</v>
      </c>
    </row>
    <row r="51" spans="4:5" x14ac:dyDescent="0.25">
      <c r="D51" s="18" t="s">
        <v>4</v>
      </c>
      <c r="E51" s="32">
        <v>212</v>
      </c>
    </row>
    <row r="52" spans="4:5" x14ac:dyDescent="0.25">
      <c r="D52" s="18" t="s">
        <v>112</v>
      </c>
      <c r="E52" s="32">
        <v>212</v>
      </c>
    </row>
    <row r="53" spans="4:5" x14ac:dyDescent="0.25">
      <c r="D53" s="18" t="s">
        <v>5</v>
      </c>
      <c r="E53" s="32">
        <v>394.36</v>
      </c>
    </row>
    <row r="54" spans="4:5" x14ac:dyDescent="0.25">
      <c r="D54" s="18" t="s">
        <v>6</v>
      </c>
      <c r="E54" s="32">
        <v>153.36000000000001</v>
      </c>
    </row>
  </sheetData>
  <sheetProtection password="CAB1" sheet="1" objects="1" scenarios="1" formatCells="0" formatColumns="0"/>
  <mergeCells count="8">
    <mergeCell ref="I33:J33"/>
    <mergeCell ref="I34:J34"/>
    <mergeCell ref="E24:F24"/>
    <mergeCell ref="A23:H23"/>
    <mergeCell ref="A25:A30"/>
    <mergeCell ref="D34:E34"/>
    <mergeCell ref="F34:G34"/>
    <mergeCell ref="D33:G33"/>
  </mergeCells>
  <pageMargins left="0.31496062992125984" right="0.31496062992125984" top="0.55118110236220474" bottom="0.55118110236220474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workbookViewId="0">
      <selection activeCell="F44" sqref="F44"/>
    </sheetView>
  </sheetViews>
  <sheetFormatPr baseColWidth="10" defaultRowHeight="15" x14ac:dyDescent="0.25"/>
  <cols>
    <col min="1" max="1" width="34.42578125" style="3" bestFit="1" customWidth="1"/>
    <col min="2" max="2" width="18.7109375" style="3" bestFit="1" customWidth="1"/>
    <col min="3" max="3" width="18.42578125" style="3" customWidth="1"/>
    <col min="4" max="4" width="23" style="3" bestFit="1" customWidth="1"/>
    <col min="5" max="5" width="15.140625" style="3" customWidth="1"/>
    <col min="6" max="6" width="13.42578125" style="3" bestFit="1" customWidth="1"/>
    <col min="7" max="7" width="14.42578125" style="3" bestFit="1" customWidth="1"/>
    <col min="8" max="8" width="15" style="3" bestFit="1" customWidth="1"/>
    <col min="9" max="16384" width="11.42578125" style="3"/>
  </cols>
  <sheetData>
    <row r="1" spans="1:9" ht="21" x14ac:dyDescent="0.35">
      <c r="A1" s="47" t="s">
        <v>108</v>
      </c>
      <c r="B1" s="47"/>
      <c r="C1" s="47"/>
      <c r="D1" s="47"/>
      <c r="E1" s="47"/>
      <c r="F1" s="47"/>
      <c r="G1" s="47"/>
      <c r="H1" s="47"/>
    </row>
    <row r="3" spans="1:9" x14ac:dyDescent="0.25">
      <c r="A3" s="22"/>
      <c r="B3" s="22"/>
      <c r="C3" s="22"/>
      <c r="D3" s="22"/>
      <c r="E3" s="22"/>
      <c r="F3" s="22"/>
      <c r="G3" s="22"/>
      <c r="H3" s="22"/>
    </row>
    <row r="4" spans="1:9" ht="30" x14ac:dyDescent="0.25">
      <c r="A4" s="28" t="s">
        <v>73</v>
      </c>
      <c r="B4" s="28" t="s">
        <v>74</v>
      </c>
      <c r="C4" s="28" t="s">
        <v>75</v>
      </c>
      <c r="D4" s="29" t="s">
        <v>76</v>
      </c>
      <c r="E4" s="29" t="s">
        <v>77</v>
      </c>
      <c r="F4" s="28" t="s">
        <v>78</v>
      </c>
      <c r="G4" s="28" t="s">
        <v>79</v>
      </c>
      <c r="H4" s="29" t="s">
        <v>80</v>
      </c>
    </row>
    <row r="5" spans="1:9" x14ac:dyDescent="0.25">
      <c r="A5" s="26"/>
      <c r="B5" s="26"/>
      <c r="C5" s="26"/>
      <c r="D5" s="26"/>
      <c r="E5" s="26"/>
      <c r="F5" s="26"/>
      <c r="G5" s="26"/>
      <c r="H5" s="26"/>
      <c r="I5" s="27"/>
    </row>
    <row r="6" spans="1:9" x14ac:dyDescent="0.25">
      <c r="A6" s="17" t="s">
        <v>81</v>
      </c>
      <c r="B6" s="18" t="s">
        <v>66</v>
      </c>
      <c r="C6" s="23" t="str">
        <f>FIXED(C10*65%)</f>
        <v>782,31</v>
      </c>
      <c r="D6" s="24">
        <f>D10*65%</f>
        <v>883.77900000000011</v>
      </c>
      <c r="E6" s="23"/>
      <c r="F6" s="24">
        <f t="shared" ref="F6:F15" si="0">C6+D6+E6</f>
        <v>1666.0889999999999</v>
      </c>
      <c r="G6" s="24">
        <f>G5*65%+D6</f>
        <v>883.77900000000011</v>
      </c>
      <c r="H6" s="18" t="s">
        <v>26</v>
      </c>
    </row>
    <row r="7" spans="1:9" x14ac:dyDescent="0.25">
      <c r="A7" s="17" t="s">
        <v>82</v>
      </c>
      <c r="B7" s="18" t="s">
        <v>66</v>
      </c>
      <c r="C7" s="23" t="str">
        <f>C6</f>
        <v>782,31</v>
      </c>
      <c r="D7" s="24">
        <f>D10*65%</f>
        <v>883.77900000000011</v>
      </c>
      <c r="E7" s="24">
        <f>F10*2%</f>
        <v>51.264400000000009</v>
      </c>
      <c r="F7" s="24">
        <f t="shared" si="0"/>
        <v>1717.3534</v>
      </c>
      <c r="G7" s="24">
        <f>G5*65%+D7+E7</f>
        <v>935.04340000000013</v>
      </c>
      <c r="H7" s="18" t="s">
        <v>27</v>
      </c>
    </row>
    <row r="8" spans="1:9" x14ac:dyDescent="0.25">
      <c r="A8" s="17" t="s">
        <v>83</v>
      </c>
      <c r="B8" s="18" t="s">
        <v>66</v>
      </c>
      <c r="C8" s="23" t="str">
        <f>C6</f>
        <v>782,31</v>
      </c>
      <c r="D8" s="24">
        <f>D10*65%</f>
        <v>883.77900000000011</v>
      </c>
      <c r="E8" s="24" t="str">
        <f>FIXED(F10*5%)</f>
        <v>128,16</v>
      </c>
      <c r="F8" s="24">
        <f t="shared" si="0"/>
        <v>1794.249</v>
      </c>
      <c r="G8" s="24">
        <f>G5*65%+D8+E8</f>
        <v>1011.9390000000001</v>
      </c>
      <c r="H8" s="18" t="s">
        <v>28</v>
      </c>
    </row>
    <row r="9" spans="1:9" x14ac:dyDescent="0.25">
      <c r="A9" s="17" t="s">
        <v>84</v>
      </c>
      <c r="B9" s="18" t="s">
        <v>66</v>
      </c>
      <c r="C9" s="23">
        <f>C10*90%</f>
        <v>1083.204</v>
      </c>
      <c r="D9" s="24">
        <f>D10*90%</f>
        <v>1223.6940000000002</v>
      </c>
      <c r="E9" s="23"/>
      <c r="F9" s="24">
        <f t="shared" si="0"/>
        <v>2306.8980000000001</v>
      </c>
      <c r="G9" s="24">
        <f>G5*90%+D9</f>
        <v>1223.6940000000002</v>
      </c>
      <c r="H9" s="18" t="s">
        <v>29</v>
      </c>
    </row>
    <row r="10" spans="1:9" x14ac:dyDescent="0.25">
      <c r="A10" s="17" t="s">
        <v>85</v>
      </c>
      <c r="B10" s="18" t="s">
        <v>66</v>
      </c>
      <c r="C10" s="23">
        <v>1203.56</v>
      </c>
      <c r="D10" s="24">
        <v>1359.66</v>
      </c>
      <c r="E10" s="23"/>
      <c r="F10" s="24">
        <f t="shared" si="0"/>
        <v>2563.2200000000003</v>
      </c>
      <c r="G10" s="24">
        <f>G5+D10</f>
        <v>1359.66</v>
      </c>
      <c r="H10" s="18" t="s">
        <v>30</v>
      </c>
    </row>
    <row r="11" spans="1:9" x14ac:dyDescent="0.25">
      <c r="A11" s="17" t="s">
        <v>86</v>
      </c>
      <c r="B11" s="18" t="s">
        <v>66</v>
      </c>
      <c r="C11" s="23" t="str">
        <f>FIXED(C10*85%)</f>
        <v>1.023,03</v>
      </c>
      <c r="D11" s="24" t="str">
        <f>FIXED(D10*85%)</f>
        <v>1.155,71</v>
      </c>
      <c r="E11" s="23"/>
      <c r="F11" s="24">
        <f t="shared" si="0"/>
        <v>2178.7399999999998</v>
      </c>
      <c r="G11" s="24">
        <f>698.13*85%+D11</f>
        <v>1749.1205</v>
      </c>
      <c r="H11" s="18" t="s">
        <v>31</v>
      </c>
    </row>
    <row r="12" spans="1:9" x14ac:dyDescent="0.25">
      <c r="A12" s="17" t="s">
        <v>72</v>
      </c>
      <c r="B12" s="18" t="s">
        <v>66</v>
      </c>
      <c r="C12" s="23" t="str">
        <f>FIXED(C10*85%)</f>
        <v>1.023,03</v>
      </c>
      <c r="D12" s="24" t="str">
        <f>FIXED(D10*85%)</f>
        <v>1.155,71</v>
      </c>
      <c r="E12" s="24">
        <f>E7</f>
        <v>51.264400000000009</v>
      </c>
      <c r="F12" s="24">
        <f t="shared" si="0"/>
        <v>2230.0043999999998</v>
      </c>
      <c r="G12" s="24">
        <f>G5*85%+D12+E12</f>
        <v>1206.9744000000001</v>
      </c>
      <c r="H12" s="18" t="s">
        <v>32</v>
      </c>
    </row>
    <row r="13" spans="1:9" x14ac:dyDescent="0.25">
      <c r="A13" s="17" t="s">
        <v>87</v>
      </c>
      <c r="B13" s="18" t="s">
        <v>66</v>
      </c>
      <c r="C13" s="23" t="str">
        <f>FIXED(C10*85%)</f>
        <v>1.023,03</v>
      </c>
      <c r="D13" s="24" t="str">
        <f>FIXED(D10*85%)</f>
        <v>1.155,71</v>
      </c>
      <c r="E13" s="24" t="str">
        <f>E8</f>
        <v>128,16</v>
      </c>
      <c r="F13" s="24">
        <f t="shared" si="0"/>
        <v>2306.8999999999996</v>
      </c>
      <c r="G13" s="24">
        <f>G5*85%+D13+E13</f>
        <v>1283.8700000000001</v>
      </c>
      <c r="H13" s="18" t="s">
        <v>33</v>
      </c>
    </row>
    <row r="14" spans="1:9" x14ac:dyDescent="0.25">
      <c r="A14" s="17" t="s">
        <v>88</v>
      </c>
      <c r="B14" s="18" t="s">
        <v>66</v>
      </c>
      <c r="C14" s="23">
        <v>960.44</v>
      </c>
      <c r="D14" s="24">
        <v>646.77</v>
      </c>
      <c r="E14" s="23"/>
      <c r="F14" s="24">
        <f t="shared" si="0"/>
        <v>1607.21</v>
      </c>
      <c r="G14" s="24">
        <f>C14+D14+E14</f>
        <v>1607.21</v>
      </c>
      <c r="H14" s="18"/>
    </row>
    <row r="15" spans="1:9" x14ac:dyDescent="0.25">
      <c r="A15" s="17" t="s">
        <v>89</v>
      </c>
      <c r="B15" s="18" t="s">
        <v>66</v>
      </c>
      <c r="C15" s="23">
        <f>C14</f>
        <v>960.44</v>
      </c>
      <c r="D15" s="24">
        <v>997.14</v>
      </c>
      <c r="E15" s="23"/>
      <c r="F15" s="24">
        <f t="shared" si="0"/>
        <v>1957.58</v>
      </c>
      <c r="G15" s="24">
        <f>C15+D15+E15</f>
        <v>1957.58</v>
      </c>
      <c r="H15" s="18"/>
    </row>
    <row r="16" spans="1:9" x14ac:dyDescent="0.25">
      <c r="A16" s="17" t="s">
        <v>90</v>
      </c>
      <c r="B16" s="18" t="s">
        <v>66</v>
      </c>
      <c r="C16" s="23" t="str">
        <f>FIXED(C10*60%)</f>
        <v>722,14</v>
      </c>
      <c r="D16" s="24" t="str">
        <f>FIXED(D10*60%)</f>
        <v>815,80</v>
      </c>
      <c r="E16" s="23"/>
      <c r="F16" s="24">
        <f>C16+D16</f>
        <v>1537.94</v>
      </c>
      <c r="G16" s="24">
        <f>G5*60%+D16</f>
        <v>815.8</v>
      </c>
      <c r="H16" s="18" t="s">
        <v>34</v>
      </c>
    </row>
    <row r="17" spans="1:8" x14ac:dyDescent="0.25">
      <c r="A17" s="41" t="s">
        <v>91</v>
      </c>
      <c r="B17" s="18" t="s">
        <v>67</v>
      </c>
      <c r="C17" s="23" t="str">
        <f>FIXED(C10*30%)</f>
        <v>361,07</v>
      </c>
      <c r="D17" s="24" t="str">
        <f>FIXED(D10*30%)</f>
        <v>407,90</v>
      </c>
      <c r="E17" s="23"/>
      <c r="F17" s="24">
        <f>C17+D17+E17</f>
        <v>768.97</v>
      </c>
      <c r="G17" s="24">
        <f>G5*30%+D17</f>
        <v>407.9</v>
      </c>
      <c r="H17" s="18" t="s">
        <v>35</v>
      </c>
    </row>
    <row r="18" spans="1:8" x14ac:dyDescent="0.25">
      <c r="A18" s="42"/>
      <c r="B18" s="18" t="s">
        <v>68</v>
      </c>
      <c r="C18" s="23" t="str">
        <f>FIXED(C10*25%)</f>
        <v>300,89</v>
      </c>
      <c r="D18" s="24" t="str">
        <f>FIXED(D10*25%)</f>
        <v>339,92</v>
      </c>
      <c r="E18" s="23"/>
      <c r="F18" s="24">
        <f>C18+D18+E18</f>
        <v>640.80999999999995</v>
      </c>
      <c r="G18" s="24">
        <f>G5*25%+D18</f>
        <v>339.92</v>
      </c>
      <c r="H18" s="18" t="s">
        <v>36</v>
      </c>
    </row>
    <row r="19" spans="1:8" x14ac:dyDescent="0.25">
      <c r="A19" s="42"/>
      <c r="B19" s="18" t="s">
        <v>69</v>
      </c>
      <c r="C19" s="23" t="str">
        <f>FIXED(C10*20%)</f>
        <v>240,71</v>
      </c>
      <c r="D19" s="24" t="str">
        <f>FIXED(D10*20%)</f>
        <v>271,93</v>
      </c>
      <c r="E19" s="23"/>
      <c r="F19" s="24">
        <f>C19+D19+E19</f>
        <v>512.64</v>
      </c>
      <c r="G19" s="24">
        <f>G5*20%+D19</f>
        <v>271.93</v>
      </c>
      <c r="H19" s="18" t="s">
        <v>37</v>
      </c>
    </row>
    <row r="20" spans="1:8" x14ac:dyDescent="0.25">
      <c r="A20" s="42"/>
      <c r="B20" s="18" t="s">
        <v>70</v>
      </c>
      <c r="C20" s="23" t="str">
        <f>FIXED(C10*15%)</f>
        <v>180,53</v>
      </c>
      <c r="D20" s="24" t="str">
        <f>FIXED(D10*15%)</f>
        <v>203,95</v>
      </c>
      <c r="E20" s="23"/>
      <c r="F20" s="24">
        <f>C20+D20+E20</f>
        <v>384.48</v>
      </c>
      <c r="G20" s="24">
        <f>G5*15%+D20</f>
        <v>203.95</v>
      </c>
      <c r="H20" s="18" t="s">
        <v>38</v>
      </c>
    </row>
    <row r="21" spans="1:8" x14ac:dyDescent="0.25">
      <c r="A21" s="43"/>
      <c r="B21" s="18" t="s">
        <v>71</v>
      </c>
      <c r="C21" s="23" t="str">
        <f>FIXED(C10*10%)</f>
        <v>120,36</v>
      </c>
      <c r="D21" s="24" t="str">
        <f>FIXED(D10*10%)</f>
        <v>135,97</v>
      </c>
      <c r="E21" s="23"/>
      <c r="F21" s="24">
        <f>C21+D21+E21</f>
        <v>256.33</v>
      </c>
      <c r="G21" s="24">
        <f>G5*10%+D21</f>
        <v>135.97</v>
      </c>
      <c r="H21" s="18" t="s">
        <v>39</v>
      </c>
    </row>
    <row r="22" spans="1:8" x14ac:dyDescent="0.25">
      <c r="A22" s="17" t="s">
        <v>92</v>
      </c>
      <c r="B22" s="18"/>
      <c r="C22" s="23">
        <v>289.41000000000003</v>
      </c>
      <c r="D22" s="23"/>
      <c r="E22" s="23"/>
      <c r="F22" s="23"/>
      <c r="G22" s="23"/>
      <c r="H22" s="18"/>
    </row>
    <row r="24" spans="1:8" x14ac:dyDescent="0.25">
      <c r="B24" s="31" t="s">
        <v>107</v>
      </c>
      <c r="C24" s="26"/>
      <c r="D24" s="25"/>
      <c r="F24" s="44" t="s">
        <v>94</v>
      </c>
      <c r="G24" s="45"/>
      <c r="H24" s="46"/>
    </row>
    <row r="26" spans="1:8" x14ac:dyDescent="0.25">
      <c r="B26" s="17" t="s">
        <v>74</v>
      </c>
      <c r="C26" s="17" t="s">
        <v>0</v>
      </c>
      <c r="D26" s="17" t="s">
        <v>93</v>
      </c>
      <c r="F26" s="17" t="s">
        <v>74</v>
      </c>
      <c r="G26" s="17" t="s">
        <v>100</v>
      </c>
      <c r="H26" s="17" t="s">
        <v>101</v>
      </c>
    </row>
    <row r="27" spans="1:8" x14ac:dyDescent="0.25">
      <c r="B27" s="18" t="s">
        <v>67</v>
      </c>
      <c r="C27" s="30">
        <v>22.21</v>
      </c>
      <c r="D27" s="18">
        <v>55.52</v>
      </c>
      <c r="F27" s="18" t="s">
        <v>67</v>
      </c>
      <c r="G27" s="23" t="s">
        <v>95</v>
      </c>
      <c r="H27" s="23" t="s">
        <v>102</v>
      </c>
    </row>
    <row r="28" spans="1:8" x14ac:dyDescent="0.25">
      <c r="B28" s="18" t="s">
        <v>68</v>
      </c>
      <c r="C28" s="30">
        <v>18.5</v>
      </c>
      <c r="D28" s="18">
        <v>46.27</v>
      </c>
      <c r="F28" s="18" t="s">
        <v>68</v>
      </c>
      <c r="G28" s="23" t="s">
        <v>96</v>
      </c>
      <c r="H28" s="23" t="s">
        <v>103</v>
      </c>
    </row>
    <row r="29" spans="1:8" x14ac:dyDescent="0.25">
      <c r="B29" s="18" t="s">
        <v>69</v>
      </c>
      <c r="C29" s="30">
        <v>14.8</v>
      </c>
      <c r="D29" s="18">
        <v>37.01</v>
      </c>
      <c r="F29" s="18" t="s">
        <v>69</v>
      </c>
      <c r="G29" s="23" t="s">
        <v>97</v>
      </c>
      <c r="H29" s="23" t="s">
        <v>104</v>
      </c>
    </row>
    <row r="30" spans="1:8" x14ac:dyDescent="0.25">
      <c r="B30" s="18" t="s">
        <v>70</v>
      </c>
      <c r="C30" s="30">
        <v>11.1</v>
      </c>
      <c r="D30" s="18">
        <v>27.76</v>
      </c>
      <c r="F30" s="18" t="s">
        <v>70</v>
      </c>
      <c r="G30" s="23" t="s">
        <v>98</v>
      </c>
      <c r="H30" s="23" t="s">
        <v>105</v>
      </c>
    </row>
    <row r="31" spans="1:8" x14ac:dyDescent="0.25">
      <c r="B31" s="18" t="s">
        <v>71</v>
      </c>
      <c r="C31" s="30">
        <v>7.4</v>
      </c>
      <c r="D31" s="18">
        <v>18.510000000000002</v>
      </c>
      <c r="F31" s="18" t="s">
        <v>71</v>
      </c>
      <c r="G31" s="23" t="s">
        <v>99</v>
      </c>
      <c r="H31" s="23" t="s">
        <v>106</v>
      </c>
    </row>
    <row r="34" spans="2:3" x14ac:dyDescent="0.25">
      <c r="B34" s="31" t="s">
        <v>109</v>
      </c>
      <c r="C34" s="25"/>
    </row>
    <row r="36" spans="2:3" x14ac:dyDescent="0.25">
      <c r="B36" s="18" t="s">
        <v>110</v>
      </c>
      <c r="C36" s="32">
        <v>1546.17</v>
      </c>
    </row>
    <row r="37" spans="2:3" x14ac:dyDescent="0.25">
      <c r="B37" s="18" t="s">
        <v>1</v>
      </c>
      <c r="C37" s="32">
        <v>698.99</v>
      </c>
    </row>
    <row r="38" spans="2:3" x14ac:dyDescent="0.25">
      <c r="B38" s="18" t="s">
        <v>111</v>
      </c>
      <c r="C38" s="32">
        <v>545</v>
      </c>
    </row>
    <row r="39" spans="2:3" x14ac:dyDescent="0.25">
      <c r="B39" s="18" t="s">
        <v>2</v>
      </c>
      <c r="C39" s="32">
        <v>294.10000000000002</v>
      </c>
    </row>
    <row r="40" spans="2:3" x14ac:dyDescent="0.25">
      <c r="B40" s="18" t="s">
        <v>3</v>
      </c>
      <c r="C40" s="32">
        <v>394.36</v>
      </c>
    </row>
    <row r="41" spans="2:3" x14ac:dyDescent="0.25">
      <c r="B41" s="18" t="s">
        <v>4</v>
      </c>
      <c r="C41" s="32">
        <v>212</v>
      </c>
    </row>
    <row r="42" spans="2:3" x14ac:dyDescent="0.25">
      <c r="B42" s="18" t="s">
        <v>112</v>
      </c>
      <c r="C42" s="32">
        <v>212</v>
      </c>
    </row>
    <row r="43" spans="2:3" x14ac:dyDescent="0.25">
      <c r="B43" s="18" t="s">
        <v>5</v>
      </c>
      <c r="C43" s="32">
        <v>394.36</v>
      </c>
    </row>
    <row r="44" spans="2:3" x14ac:dyDescent="0.25">
      <c r="B44" s="18" t="s">
        <v>6</v>
      </c>
      <c r="C44" s="32">
        <v>153.36000000000001</v>
      </c>
    </row>
  </sheetData>
  <sheetProtection password="CAB1" sheet="1" objects="1" scenarios="1" formatCells="0"/>
  <mergeCells count="3">
    <mergeCell ref="A17:A21"/>
    <mergeCell ref="F24:H24"/>
    <mergeCell ref="A1:H1"/>
  </mergeCells>
  <pageMargins left="0.7" right="0.7" top="0.75" bottom="0.75" header="0.3" footer="0.3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PDI Funcionario e Interino</vt:lpstr>
      <vt:lpstr>PDI Contratado LOU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2020-01-30T08:27:25Z</dcterms:modified>
</cp:coreProperties>
</file>